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akewayenviro-my.sharepoint.com/personal/bert_makeway_ca/Documents/Documents/A1, Bert's Files/Enviro-Septic Configurations/Configurators, Mar 5, 2026/"/>
    </mc:Choice>
  </mc:AlternateContent>
  <xr:revisionPtr revIDLastSave="0" documentId="8_{E46CCC7D-B747-4BAB-9EB4-F9CECAAF3EAC}" xr6:coauthVersionLast="47" xr6:coauthVersionMax="47" xr10:uidLastSave="{00000000-0000-0000-0000-000000000000}"/>
  <workbookProtection workbookAlgorithmName="SHA-512" workbookHashValue="HpGdLUumD/EcqwPRPlUAnW+p8jAnbZKniAb1zUgL0+t2GpVKRyK16U11ModwTwXIcaWcD8/wyxOlD+SMlikahA==" workbookSaltValue="nDZUBDYMXoUvUCMnCtOphQ==" workbookSpinCount="100000" lockStructure="1"/>
  <bookViews>
    <workbookView xWindow="-108" yWindow="-108" windowWidth="23256" windowHeight="13896" tabRatio="868" xr2:uid="{00000000-000D-0000-FFFF-FFFF00000000}"/>
  </bookViews>
  <sheets>
    <sheet name="ESP Leaching Bed" sheetId="13" r:id="rId1"/>
    <sheet name="Feuil1" sheetId="18" state="hidden" r:id="rId2"/>
    <sheet name="ESP Bed - Custom spacing" sheetId="19" r:id="rId3"/>
    <sheet name="Summary - Leaching Bed" sheetId="20" r:id="rId4"/>
    <sheet name="Quantity" sheetId="16" r:id="rId5"/>
    <sheet name="Estimation Espacement" sheetId="15" state="hidden" r:id="rId6"/>
  </sheets>
  <definedNames>
    <definedName name="_xlnm.Print_Area" localSheetId="2">'ESP Bed - Custom spacing'!$A$1:$F$45</definedName>
    <definedName name="_xlnm.Print_Area" localSheetId="0">'ESP Leaching Bed'!$A$1:$F$47</definedName>
    <definedName name="_xlnm.Print_Area" localSheetId="3">'Summary - Leaching Bed'!$A$1:$O$107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3" l="1"/>
  <c r="B96" i="20"/>
  <c r="B94" i="20"/>
  <c r="O79" i="20"/>
  <c r="O77" i="20"/>
  <c r="J74" i="20"/>
  <c r="G74" i="20"/>
  <c r="B74" i="20"/>
  <c r="I70" i="20"/>
  <c r="G70" i="20"/>
  <c r="E70" i="20"/>
  <c r="B60" i="20"/>
  <c r="B58" i="20"/>
  <c r="O57" i="20"/>
  <c r="O55" i="20"/>
  <c r="A53" i="20"/>
  <c r="K74" i="20" s="1"/>
  <c r="B47" i="20"/>
  <c r="B45" i="20"/>
  <c r="N44" i="20"/>
  <c r="N43" i="20"/>
  <c r="N42" i="20"/>
  <c r="N41" i="20"/>
  <c r="N40" i="20"/>
  <c r="N39" i="20"/>
  <c r="A39" i="20"/>
  <c r="C74" i="20" s="1"/>
  <c r="O37" i="20"/>
  <c r="F22" i="20"/>
  <c r="E28" i="20" s="1"/>
  <c r="F19" i="20"/>
  <c r="F21" i="20" s="1"/>
  <c r="D13" i="20"/>
  <c r="D12" i="20"/>
  <c r="F18" i="20"/>
  <c r="F17" i="20"/>
  <c r="F16" i="20"/>
  <c r="K35" i="20"/>
  <c r="C35" i="20"/>
  <c r="N13" i="20"/>
  <c r="E11" i="13"/>
  <c r="O45" i="20" l="1"/>
  <c r="B41" i="20"/>
  <c r="O47" i="20"/>
  <c r="D35" i="20"/>
  <c r="L35" i="20" s="1"/>
  <c r="B53" i="20"/>
  <c r="B39" i="20"/>
  <c r="B55" i="20"/>
  <c r="H35" i="20"/>
  <c r="C19" i="13" l="1"/>
  <c r="C33" i="19"/>
  <c r="C6" i="19"/>
  <c r="C5" i="19"/>
  <c r="C34" i="19"/>
  <c r="E11" i="19"/>
  <c r="A3" i="18"/>
  <c r="A2" i="18"/>
  <c r="F21" i="13" s="1"/>
  <c r="C12" i="13"/>
  <c r="C19" i="19" l="1"/>
  <c r="C35" i="19"/>
  <c r="E32" i="19"/>
  <c r="E30" i="19"/>
  <c r="E31" i="13"/>
  <c r="B30" i="13"/>
  <c r="C41" i="19" l="1"/>
  <c r="C52" i="19" l="1"/>
  <c r="C53" i="19" s="1"/>
  <c r="C39" i="19"/>
  <c r="C40" i="19" s="1"/>
  <c r="C38" i="19"/>
  <c r="E38" i="19" s="1"/>
  <c r="E31" i="19"/>
  <c r="E29" i="19"/>
  <c r="E28" i="19"/>
  <c r="C26" i="19"/>
  <c r="C24" i="19"/>
  <c r="C25" i="19" s="1"/>
  <c r="E23" i="19"/>
  <c r="E22" i="19"/>
  <c r="C20" i="19"/>
  <c r="E17" i="19"/>
  <c r="C16" i="19"/>
  <c r="C18" i="19" s="1"/>
  <c r="E15" i="19"/>
  <c r="E14" i="19"/>
  <c r="E13" i="19"/>
  <c r="C12" i="19"/>
  <c r="E10" i="19"/>
  <c r="F6" i="19"/>
  <c r="E18" i="19" l="1"/>
  <c r="C55" i="19"/>
  <c r="E27" i="19"/>
  <c r="C36" i="19"/>
  <c r="C37" i="19" s="1"/>
  <c r="C54" i="19"/>
  <c r="E16" i="19"/>
  <c r="E24" i="19"/>
  <c r="C42" i="19" l="1"/>
  <c r="A4" i="18"/>
  <c r="F21" i="19" s="1"/>
  <c r="B4" i="18"/>
  <c r="B3" i="18"/>
  <c r="B2" i="18"/>
  <c r="C21" i="19" l="1"/>
  <c r="E36" i="19" s="1"/>
  <c r="E43" i="19" s="1"/>
  <c r="C21" i="13"/>
  <c r="E2" i="16" l="1"/>
  <c r="E3" i="16"/>
  <c r="E4" i="16"/>
  <c r="A19" i="16" s="1"/>
  <c r="A9" i="16" l="1"/>
  <c r="A21" i="16"/>
  <c r="A11" i="16"/>
  <c r="A23" i="16"/>
  <c r="A17" i="16"/>
  <c r="A13" i="16"/>
  <c r="A15" i="16" l="1"/>
  <c r="I14" i="15" l="1"/>
  <c r="I13" i="15"/>
  <c r="B32" i="13"/>
  <c r="C41" i="13"/>
  <c r="B13" i="15"/>
  <c r="B27" i="15" s="1"/>
  <c r="C34" i="15"/>
  <c r="D34" i="15" s="1"/>
  <c r="C26" i="13"/>
  <c r="E15" i="13"/>
  <c r="F6" i="13"/>
  <c r="E22" i="13"/>
  <c r="E13" i="13"/>
  <c r="E17" i="13"/>
  <c r="C54" i="13"/>
  <c r="C55" i="13" s="1"/>
  <c r="E34" i="13"/>
  <c r="E29" i="13"/>
  <c r="C20" i="13"/>
  <c r="E14" i="13"/>
  <c r="C40" i="13"/>
  <c r="E40" i="13" s="1"/>
  <c r="I15" i="15"/>
  <c r="C16" i="13"/>
  <c r="E10" i="13"/>
  <c r="C35" i="13"/>
  <c r="H63" i="20" s="1"/>
  <c r="C24" i="13"/>
  <c r="F20" i="20" s="1"/>
  <c r="B100" i="20" l="1"/>
  <c r="B102" i="20"/>
  <c r="C18" i="13"/>
  <c r="B15" i="15"/>
  <c r="B29" i="15" s="1"/>
  <c r="C25" i="13"/>
  <c r="E24" i="13"/>
  <c r="E27" i="13"/>
  <c r="B14" i="15"/>
  <c r="B28" i="15" s="1"/>
  <c r="C56" i="13"/>
  <c r="C57" i="13"/>
  <c r="E16" i="13"/>
  <c r="O98" i="20" l="1"/>
  <c r="O96" i="20"/>
  <c r="E18" i="13"/>
  <c r="B31" i="15"/>
  <c r="B33" i="15" s="1"/>
  <c r="I17" i="15" s="1"/>
  <c r="B36" i="15"/>
  <c r="C36" i="15" s="1"/>
  <c r="B17" i="15" l="1"/>
  <c r="C17" i="15" s="1"/>
  <c r="C18" i="15" s="1"/>
  <c r="D38" i="15"/>
  <c r="B41" i="15" s="1"/>
  <c r="C41" i="15" s="1"/>
  <c r="C33" i="15"/>
  <c r="D33" i="15" s="1"/>
  <c r="L17" i="15"/>
  <c r="J17" i="15"/>
  <c r="K17" i="15"/>
  <c r="K18" i="15" s="1"/>
  <c r="K20" i="15" s="1"/>
  <c r="J18" i="15"/>
  <c r="J20" i="15" s="1"/>
  <c r="C21" i="15" l="1"/>
  <c r="B18" i="15"/>
  <c r="D17" i="15"/>
  <c r="D18" i="15" s="1"/>
  <c r="D21" i="15" s="1"/>
  <c r="B42" i="15"/>
  <c r="B43" i="15" s="1"/>
  <c r="M17" i="15"/>
  <c r="I18" i="15" s="1"/>
  <c r="L18" i="15" s="1"/>
  <c r="C42" i="15" l="1"/>
  <c r="M18" i="15"/>
  <c r="I20" i="15"/>
  <c r="L20" i="15" s="1"/>
  <c r="E21" i="15" s="1"/>
  <c r="B44" i="15"/>
  <c r="C43" i="15"/>
  <c r="B21" i="15" l="1"/>
  <c r="B45" i="15"/>
  <c r="C44" i="15"/>
  <c r="C28" i="13" l="1"/>
  <c r="C45" i="15"/>
  <c r="B46" i="15"/>
  <c r="C30" i="13" l="1"/>
  <c r="C32" i="13" s="1"/>
  <c r="C33" i="13"/>
  <c r="B47" i="15"/>
  <c r="C46" i="15"/>
  <c r="C36" i="13" l="1"/>
  <c r="C47" i="15"/>
  <c r="B48" i="15"/>
  <c r="O52" i="20" l="1"/>
  <c r="O50" i="20"/>
  <c r="C42" i="13"/>
  <c r="C38" i="13"/>
  <c r="F23" i="20" s="1"/>
  <c r="C37" i="13"/>
  <c r="C43" i="13"/>
  <c r="F25" i="20" s="1"/>
  <c r="B49" i="15"/>
  <c r="C48" i="15"/>
  <c r="E38" i="13" l="1"/>
  <c r="E45" i="13" s="1"/>
  <c r="C39" i="13"/>
  <c r="F24" i="20" s="1"/>
  <c r="C44" i="13"/>
  <c r="F26" i="20" s="1"/>
  <c r="B50" i="15"/>
  <c r="C49" i="15"/>
  <c r="B51" i="15" l="1"/>
  <c r="C50" i="15"/>
  <c r="B52" i="15" l="1"/>
  <c r="C51" i="15"/>
  <c r="B53" i="15" l="1"/>
  <c r="C52" i="15"/>
  <c r="B54" i="15" l="1"/>
  <c r="C53" i="15"/>
  <c r="B55" i="15" l="1"/>
  <c r="C54" i="15"/>
  <c r="B56" i="15" l="1"/>
  <c r="C55" i="15"/>
  <c r="B57" i="15" l="1"/>
  <c r="C56" i="15"/>
  <c r="B58" i="15" l="1"/>
  <c r="C57" i="15"/>
  <c r="B59" i="15" l="1"/>
  <c r="C58" i="15"/>
  <c r="B60" i="15" l="1"/>
  <c r="C59" i="15"/>
  <c r="B61" i="15" l="1"/>
  <c r="C60" i="15"/>
  <c r="B62" i="15" l="1"/>
  <c r="C61" i="15"/>
  <c r="B63" i="15" l="1"/>
  <c r="C62" i="15"/>
  <c r="B64" i="15" l="1"/>
  <c r="C63" i="15"/>
  <c r="B65" i="15" l="1"/>
  <c r="C64" i="15"/>
  <c r="B66" i="15" l="1"/>
  <c r="C65" i="15"/>
  <c r="B67" i="15" l="1"/>
  <c r="C66" i="15"/>
  <c r="B68" i="15" l="1"/>
  <c r="C67" i="15"/>
  <c r="B69" i="15" l="1"/>
  <c r="C68" i="15"/>
  <c r="B70" i="15" l="1"/>
  <c r="C69" i="15"/>
  <c r="B71" i="15" l="1"/>
  <c r="C70" i="15"/>
  <c r="B72" i="15" l="1"/>
  <c r="C71" i="15"/>
  <c r="B73" i="15" l="1"/>
  <c r="C72" i="15"/>
  <c r="B74" i="15" l="1"/>
  <c r="C73" i="15"/>
  <c r="B75" i="15" l="1"/>
  <c r="C74" i="15"/>
  <c r="B76" i="15" l="1"/>
  <c r="C75" i="15"/>
  <c r="B77" i="15" l="1"/>
  <c r="C76" i="15"/>
  <c r="B78" i="15" l="1"/>
  <c r="C77" i="15"/>
  <c r="B79" i="15" l="1"/>
  <c r="C78" i="15"/>
  <c r="B80" i="15" l="1"/>
  <c r="C79" i="15"/>
  <c r="B81" i="15" l="1"/>
  <c r="C80" i="15"/>
  <c r="B82" i="15" l="1"/>
  <c r="C81" i="15"/>
  <c r="B83" i="15" l="1"/>
  <c r="C82" i="15"/>
  <c r="B84" i="15" l="1"/>
  <c r="C83" i="15"/>
  <c r="B85" i="15" l="1"/>
  <c r="C84" i="15"/>
  <c r="B86" i="15" l="1"/>
  <c r="C85" i="15"/>
  <c r="B87" i="15" l="1"/>
  <c r="C86" i="15"/>
  <c r="B88" i="15" l="1"/>
  <c r="C87" i="15"/>
  <c r="B89" i="15" l="1"/>
  <c r="C88" i="15"/>
  <c r="B90" i="15" l="1"/>
  <c r="C89" i="15"/>
  <c r="B91" i="15" l="1"/>
  <c r="C90" i="15"/>
  <c r="B92" i="15" l="1"/>
  <c r="C91" i="15"/>
  <c r="B93" i="15" l="1"/>
  <c r="C92" i="15"/>
  <c r="B94" i="15" l="1"/>
  <c r="C93" i="15"/>
  <c r="B95" i="15" l="1"/>
  <c r="C94" i="15"/>
  <c r="B96" i="15" l="1"/>
  <c r="C95" i="15"/>
  <c r="B97" i="15" l="1"/>
  <c r="C96" i="15"/>
  <c r="B98" i="15" l="1"/>
  <c r="C97" i="15"/>
  <c r="B99" i="15" l="1"/>
  <c r="C98" i="15"/>
  <c r="B100" i="15" l="1"/>
  <c r="C99" i="15"/>
  <c r="B101" i="15" l="1"/>
  <c r="C100" i="15"/>
  <c r="B102" i="15" l="1"/>
  <c r="C101" i="15"/>
  <c r="B103" i="15" l="1"/>
  <c r="C102" i="15"/>
  <c r="B104" i="15" l="1"/>
  <c r="C103" i="15"/>
  <c r="B105" i="15" l="1"/>
  <c r="C104" i="15"/>
  <c r="B106" i="15" l="1"/>
  <c r="C105" i="15"/>
  <c r="B107" i="15" l="1"/>
  <c r="C106" i="15"/>
  <c r="B108" i="15" l="1"/>
  <c r="C107" i="15"/>
  <c r="B109" i="15" l="1"/>
  <c r="C108" i="15"/>
  <c r="B110" i="15" l="1"/>
  <c r="C109" i="15"/>
  <c r="B111" i="15" l="1"/>
  <c r="C110" i="15"/>
  <c r="B112" i="15" l="1"/>
  <c r="C111" i="15"/>
  <c r="B113" i="15" l="1"/>
  <c r="C112" i="15"/>
  <c r="B114" i="15" l="1"/>
  <c r="C113" i="15"/>
  <c r="B115" i="15" l="1"/>
  <c r="C114" i="15"/>
  <c r="B116" i="15" l="1"/>
  <c r="C115" i="15"/>
  <c r="B117" i="15" l="1"/>
  <c r="C116" i="15"/>
  <c r="B118" i="15" l="1"/>
  <c r="C117" i="15"/>
  <c r="B119" i="15" l="1"/>
  <c r="C118" i="15"/>
  <c r="B120" i="15" l="1"/>
  <c r="C119" i="15"/>
  <c r="B121" i="15" l="1"/>
  <c r="C120" i="15"/>
  <c r="B122" i="15" l="1"/>
  <c r="C121" i="15"/>
  <c r="B123" i="15" l="1"/>
  <c r="C122" i="15"/>
  <c r="B124" i="15" l="1"/>
  <c r="C123" i="15"/>
  <c r="C124" i="15" l="1"/>
  <c r="B125" i="15"/>
  <c r="B126" i="15" l="1"/>
  <c r="C125" i="15"/>
  <c r="B127" i="15" l="1"/>
  <c r="C126" i="15"/>
  <c r="B128" i="15" l="1"/>
  <c r="C127" i="15"/>
  <c r="C128" i="15" l="1"/>
  <c r="B129" i="15"/>
  <c r="B130" i="15" l="1"/>
  <c r="C129" i="15"/>
  <c r="C130" i="15" l="1"/>
  <c r="B131" i="15"/>
  <c r="B132" i="15" l="1"/>
  <c r="C131" i="15"/>
  <c r="C132" i="15" l="1"/>
  <c r="B133" i="15"/>
  <c r="B134" i="15" l="1"/>
  <c r="C133" i="15"/>
  <c r="C134" i="15" l="1"/>
  <c r="B135" i="15"/>
  <c r="B136" i="15" l="1"/>
  <c r="C135" i="15"/>
  <c r="C136" i="15" l="1"/>
  <c r="B137" i="15"/>
  <c r="B138" i="15" l="1"/>
  <c r="C137" i="15"/>
  <c r="C138" i="15" l="1"/>
  <c r="B139" i="15"/>
  <c r="B140" i="15" l="1"/>
  <c r="C139" i="15"/>
  <c r="C140" i="15" l="1"/>
  <c r="B141" i="15"/>
  <c r="B142" i="15" l="1"/>
  <c r="C141" i="15"/>
  <c r="C142" i="15" l="1"/>
  <c r="B143" i="15"/>
  <c r="B144" i="15" l="1"/>
  <c r="C143" i="15"/>
  <c r="C144" i="15" l="1"/>
  <c r="B145" i="15"/>
  <c r="B146" i="15" l="1"/>
  <c r="C145" i="15"/>
  <c r="C146" i="15" l="1"/>
  <c r="B147" i="15"/>
  <c r="B148" i="15" l="1"/>
  <c r="C147" i="15"/>
  <c r="B149" i="15" l="1"/>
  <c r="C148" i="15"/>
  <c r="C149" i="15" l="1"/>
  <c r="B150" i="15"/>
  <c r="B151" i="15" l="1"/>
  <c r="C150" i="15"/>
  <c r="B152" i="15" l="1"/>
  <c r="C151" i="15"/>
  <c r="B153" i="15" l="1"/>
  <c r="C152" i="15"/>
  <c r="C153" i="15" l="1"/>
  <c r="B154" i="15"/>
  <c r="C154" i="15" l="1"/>
  <c r="B155" i="15"/>
  <c r="C155" i="15" l="1"/>
  <c r="B156" i="15"/>
  <c r="C156" i="15" l="1"/>
  <c r="B157" i="15"/>
  <c r="C157" i="15" l="1"/>
  <c r="B158" i="15"/>
  <c r="C158" i="15" l="1"/>
  <c r="B159" i="15"/>
  <c r="B160" i="15" l="1"/>
  <c r="C159" i="15"/>
  <c r="B161" i="15" l="1"/>
  <c r="C160" i="15"/>
  <c r="B162" i="15" l="1"/>
  <c r="C161" i="15"/>
  <c r="B163" i="15" l="1"/>
  <c r="C162" i="15"/>
  <c r="B164" i="15" l="1"/>
  <c r="C163" i="15"/>
  <c r="B165" i="15" l="1"/>
  <c r="C164" i="15"/>
  <c r="B166" i="15" l="1"/>
  <c r="C165" i="15"/>
  <c r="B167" i="15" l="1"/>
  <c r="C166" i="15"/>
  <c r="B168" i="15" l="1"/>
  <c r="C167" i="15"/>
  <c r="C168" i="15" l="1"/>
  <c r="B169" i="15"/>
  <c r="C169" i="15" l="1"/>
  <c r="B170" i="15"/>
  <c r="C170" i="15" l="1"/>
  <c r="B171" i="15"/>
  <c r="C171" i="15" l="1"/>
  <c r="B172" i="15"/>
  <c r="B173" i="15" l="1"/>
  <c r="C172" i="15"/>
  <c r="B174" i="15" l="1"/>
  <c r="C173" i="15"/>
  <c r="B175" i="15" l="1"/>
  <c r="C174" i="15"/>
  <c r="B176" i="15" l="1"/>
  <c r="C175" i="15"/>
  <c r="B177" i="15" l="1"/>
  <c r="C176" i="15"/>
  <c r="B178" i="15" l="1"/>
  <c r="C177" i="15"/>
  <c r="B179" i="15" l="1"/>
  <c r="C178" i="15"/>
  <c r="B180" i="15" l="1"/>
  <c r="C179" i="15"/>
  <c r="B181" i="15" l="1"/>
  <c r="C181" i="15" s="1"/>
  <c r="C180" i="15"/>
</calcChain>
</file>

<file path=xl/sharedStrings.xml><?xml version="1.0" encoding="utf-8"?>
<sst xmlns="http://schemas.openxmlformats.org/spreadsheetml/2006/main" count="393" uniqueCount="220">
  <si>
    <t>System O)) Configuration Simulator - BMEC Authorization of July 26 2023 (#23-05-407)</t>
  </si>
  <si>
    <t>Standard configuration</t>
  </si>
  <si>
    <t>Version 2.0</t>
  </si>
  <si>
    <t>Project Name:</t>
  </si>
  <si>
    <t>Designer Name:</t>
  </si>
  <si>
    <t>Enter proper information in the green cells</t>
  </si>
  <si>
    <t>Then validate the configuration</t>
  </si>
  <si>
    <t>Line</t>
  </si>
  <si>
    <t>Information required or element calculated</t>
  </si>
  <si>
    <t>Units</t>
  </si>
  <si>
    <t>Instructions / comments</t>
  </si>
  <si>
    <t>Soil percolation time (T-Time)</t>
  </si>
  <si>
    <t>Min/cm</t>
  </si>
  <si>
    <t>Enter the receiving soil T-Time.</t>
  </si>
  <si>
    <t>Enter System O)) Design Flow</t>
  </si>
  <si>
    <t>L/d</t>
  </si>
  <si>
    <t>Enter the System O)) Design Flow as determined from 8.2.1.3 of the Ontario On-Site Sewage Systems Code.</t>
  </si>
  <si>
    <r>
      <t>S</t>
    </r>
    <r>
      <rPr>
        <b/>
        <i/>
        <vertAlign val="subscript"/>
        <sz val="12"/>
        <rFont val="Arial"/>
        <family val="2"/>
      </rPr>
      <t>min</t>
    </r>
    <r>
      <rPr>
        <b/>
        <i/>
        <sz val="12"/>
        <rFont val="Arial"/>
        <family val="2"/>
      </rPr>
      <t xml:space="preserve"> - Minimum Vertical Separation </t>
    </r>
  </si>
  <si>
    <t>m</t>
  </si>
  <si>
    <t xml:space="preserve">Minimum Vertical Separation as measured from the bottom of the System O)) System sand to: High ground water table or Bedrock or Soil with a percolation time (T) greater than 50 cm/min.
Minimum Vertical Separation as measured from the bottom of the Enviro-Septic System sand to: High ground water table or Bedrock or Soil with a percolation time (T) greater than 50 cm/min.
</t>
  </si>
  <si>
    <t>Dept of the receiving soil</t>
  </si>
  <si>
    <t>Enter the dept of the receiving soil from the surface (original grade) to:  High ground water table or Bedrock or Soil with a percolation time (T) greater than 50 cm/min. If receiving soil has a T-Time &gt; 50 min/cm, enter 0.</t>
  </si>
  <si>
    <t>Dept of the excavation</t>
  </si>
  <si>
    <t>Enter the dept at which the base of the system will be installed. If imported sand is used under the System O)), enter the dept at which the imported sand is installed. If the system or the imported sand layer are installed at the surface (original grade), the value is 0 .</t>
  </si>
  <si>
    <t>Natural Slope of the ground</t>
  </si>
  <si>
    <t>%</t>
  </si>
  <si>
    <t xml:space="preserve">The slope must be 25 % or less. For a flat land, the slope is O%. </t>
  </si>
  <si>
    <r>
      <t>D</t>
    </r>
    <r>
      <rPr>
        <b/>
        <i/>
        <vertAlign val="subscript"/>
        <sz val="12"/>
        <rFont val="Arial"/>
        <family val="2"/>
      </rPr>
      <t>S</t>
    </r>
    <r>
      <rPr>
        <b/>
        <i/>
        <sz val="12"/>
        <rFont val="Arial"/>
        <family val="2"/>
      </rPr>
      <t xml:space="preserve"> - Dept of receiving soil under the excavation</t>
    </r>
  </si>
  <si>
    <t>This value represent the thickness of receiving soil remaining after excavation before the high ground water table or bedrock or soil with a percolation time (T) greater than 50 cm/min.</t>
  </si>
  <si>
    <r>
      <t>I</t>
    </r>
    <r>
      <rPr>
        <b/>
        <vertAlign val="subscript"/>
        <sz val="14"/>
        <rFont val="Arial"/>
        <family val="2"/>
      </rPr>
      <t>S</t>
    </r>
    <r>
      <rPr>
        <b/>
        <sz val="14"/>
        <rFont val="Arial"/>
        <family val="2"/>
      </rPr>
      <t xml:space="preserve"> -Thickness of the imported sand layer (if used)</t>
    </r>
  </si>
  <si>
    <t xml:space="preserve">Enter the dept of receiving soil still in place after installation between the base of the system or the imported sand layer and the high ground water table or bedrock or soil with a percolation time (T) greater than 50 cm/min. </t>
  </si>
  <si>
    <r>
      <t>S</t>
    </r>
    <r>
      <rPr>
        <b/>
        <i/>
        <vertAlign val="subscript"/>
        <sz val="12"/>
        <rFont val="Arial"/>
        <family val="2"/>
      </rPr>
      <t>D</t>
    </r>
    <r>
      <rPr>
        <b/>
        <i/>
        <sz val="12"/>
        <rFont val="Arial"/>
        <family val="2"/>
      </rPr>
      <t xml:space="preserve"> - Separation distance</t>
    </r>
  </si>
  <si>
    <t>This value represent the thickness of soil and imported sand (when used)  between the system base and the ground water table or bedrock or soil with a percolation time (T) greater than 50 cm/min.</t>
  </si>
  <si>
    <t>Minimum number of Enviro-Septic Pipes</t>
  </si>
  <si>
    <t>ESP</t>
  </si>
  <si>
    <t>This value represent the minimum number of Enviro-Septic pipes required to treat the daily flow of Septic Tank Effluent using formula Q/126.</t>
  </si>
  <si>
    <t>Minimum length of Enviro-Septic Pipes</t>
  </si>
  <si>
    <t xml:space="preserve">This value represent the minimum length of Enviro-Septic pipes required to treat the daily flow of Septic Tank Effluent using formula 3,05*(Q/126). </t>
  </si>
  <si>
    <t>Minimum System O)) Contact Area</t>
  </si>
  <si>
    <r>
      <t>m</t>
    </r>
    <r>
      <rPr>
        <b/>
        <vertAlign val="superscript"/>
        <sz val="16"/>
        <rFont val="Arial"/>
        <family val="2"/>
      </rPr>
      <t>2</t>
    </r>
  </si>
  <si>
    <t>Number of rows of Enviro-Septic Pipes</t>
  </si>
  <si>
    <t>Rows</t>
  </si>
  <si>
    <t>Enter the number of rows of the configuration wanted.</t>
  </si>
  <si>
    <t>Number of Enviro-Septic Pipes per row</t>
  </si>
  <si>
    <t>Enter the number of pipes per row for the configuration wanted. This number should equal or greater than 2 without going over 10.</t>
  </si>
  <si>
    <t>Total number of Enviro-Septic Pipes</t>
  </si>
  <si>
    <t>This value represent the product of the number of rows by the number of pipes per rows (line 12 x line 13). An error message will appear if the result is smaller than the minimum number of pipes required shown at line 10.</t>
  </si>
  <si>
    <t>Total length of Enviro-Septic Pipes</t>
  </si>
  <si>
    <t>This value represent the product of the total number of pipes required by the length of one pipe.</t>
  </si>
  <si>
    <t>Total length of a row of Enviro-Septic Pipes</t>
  </si>
  <si>
    <t>This value represent the product of the number of pipes per row by the lenght of one pipe.</t>
  </si>
  <si>
    <t xml:space="preserve">Number of sections </t>
  </si>
  <si>
    <t>section(s)</t>
  </si>
  <si>
    <t xml:space="preserve">The number of section chosen must allow even distribution of rows between sections (Ex. 9 rows can be divided in 3 section of 3 rows, but 8 rows can't be divided in 3 sections).  </t>
  </si>
  <si>
    <r>
      <t>Suggested E</t>
    </r>
    <r>
      <rPr>
        <b/>
        <i/>
        <vertAlign val="subscript"/>
        <sz val="14"/>
        <rFont val="Arial"/>
        <family val="2"/>
      </rPr>
      <t>CC</t>
    </r>
  </si>
  <si>
    <t xml:space="preserve">Suggested Center to Center spacing calculated automatically based on an equal distribution of the rows of pipes. The minimum value is 0,45 m. </t>
  </si>
  <si>
    <r>
      <t>E</t>
    </r>
    <r>
      <rPr>
        <b/>
        <vertAlign val="subscript"/>
        <sz val="14"/>
        <rFont val="Arial"/>
        <family val="2"/>
      </rPr>
      <t>CC</t>
    </r>
    <r>
      <rPr>
        <b/>
        <sz val="14"/>
        <rFont val="Arial"/>
        <family val="2"/>
      </rPr>
      <t xml:space="preserve"> - Center to Center Spacing</t>
    </r>
  </si>
  <si>
    <t>Enter the Center to Center Spacing. The minimum ECC is 0,45 m</t>
  </si>
  <si>
    <t>Suggested Lateral extension spacing calculated automatically based on the Center to Center Spacing. The minimum value is 0,45 m. When Ecc is 0,9 m or above, EL is half Ecc.</t>
  </si>
  <si>
    <t>EL- Lateral Extension distance</t>
  </si>
  <si>
    <t xml:space="preserve">Lateral extension spacing needs to be 0,45 or more. </t>
  </si>
  <si>
    <t xml:space="preserve">When slope is more than 3%, the Lateral extension spacing is larger downhill than uphill. The EL2 is calculated automatically and is equal to the Center to Center Spacing. </t>
  </si>
  <si>
    <r>
      <t>Suggested E</t>
    </r>
    <r>
      <rPr>
        <b/>
        <i/>
        <vertAlign val="subscript"/>
        <sz val="14"/>
        <rFont val="Arial"/>
        <family val="2"/>
      </rPr>
      <t>E</t>
    </r>
  </si>
  <si>
    <t>Suggested Extremity extension spacing calculated automatically based on the Center to Center Spacing. The minimum value is 0,3 m. When Ecc is 0,9 m or above, EE is half Ecc. - 0,15 m.</t>
  </si>
  <si>
    <r>
      <t>E</t>
    </r>
    <r>
      <rPr>
        <b/>
        <vertAlign val="subscript"/>
        <sz val="14"/>
        <rFont val="Arial"/>
        <family val="2"/>
      </rPr>
      <t>E</t>
    </r>
    <r>
      <rPr>
        <b/>
        <sz val="14"/>
        <rFont val="Arial"/>
        <family val="2"/>
      </rPr>
      <t xml:space="preserve"> - Extremity Extension Distance</t>
    </r>
  </si>
  <si>
    <t xml:space="preserve">Extremity extension spacing needs to be 0,3 or more. </t>
  </si>
  <si>
    <t>L - Length of one section of the System O))</t>
  </si>
  <si>
    <t>This value represent the length of a row of pipes plus the two Extremity Extension Distances</t>
  </si>
  <si>
    <t>W - Width of one section of the System O))</t>
  </si>
  <si>
    <t>This value represent the width of a section including the Center to Center Spacing and the Lateral Spacing.</t>
  </si>
  <si>
    <t>Total System O)) Contact Area per section</t>
  </si>
  <si>
    <t>This value represent the total System O)) Contact Area for each independant section.</t>
  </si>
  <si>
    <t>Total System O)) Contact Area</t>
  </si>
  <si>
    <t>This value represent the total System O)) Contact Area.</t>
  </si>
  <si>
    <t>Hydraulic Loading Rate (HLR)</t>
  </si>
  <si>
    <r>
      <t>L/m</t>
    </r>
    <r>
      <rPr>
        <b/>
        <vertAlign val="superscript"/>
        <sz val="16"/>
        <rFont val="Arial"/>
        <family val="2"/>
      </rPr>
      <t>2</t>
    </r>
    <r>
      <rPr>
        <b/>
        <sz val="16"/>
        <rFont val="Arial"/>
        <family val="2"/>
      </rPr>
      <t>.d</t>
    </r>
  </si>
  <si>
    <t>The Hydraulic Loading Rate represent the volume of water per square meter per day based on the Total Design Daily Flow and the Total System O)) Contact Area.</t>
  </si>
  <si>
    <t>Lateral height of the system if partially or completely above ground</t>
  </si>
  <si>
    <t>This value represents the height of the system above ground on the limit of the contact area or, in other words, where the 1:3 lateral backfill starts. The height may be a little bit more in the center of the system to keep a small slope on top for rainwater evacuation.</t>
  </si>
  <si>
    <r>
      <t>S</t>
    </r>
    <r>
      <rPr>
        <b/>
        <i/>
        <vertAlign val="subscript"/>
        <sz val="12"/>
        <rFont val="Arial"/>
        <family val="2"/>
      </rPr>
      <t xml:space="preserve">E </t>
    </r>
    <r>
      <rPr>
        <b/>
        <i/>
        <sz val="12"/>
        <rFont val="Arial"/>
        <family val="2"/>
      </rPr>
      <t>- Total length of System Sand Extension</t>
    </r>
  </si>
  <si>
    <t>The value represents the length of the down slope sand extension when it is required (for slope above 10 %)</t>
  </si>
  <si>
    <t>W2 - Width of the System O)) including System Sand Extension</t>
  </si>
  <si>
    <t>The value represents the width of the system including sand extension when it is required (for slope above 10 %)</t>
  </si>
  <si>
    <t>Estimation of the Volume of System Sand Required</t>
  </si>
  <si>
    <r>
      <t>m</t>
    </r>
    <r>
      <rPr>
        <b/>
        <vertAlign val="superscript"/>
        <sz val="16"/>
        <rFont val="Arial"/>
        <family val="2"/>
      </rPr>
      <t>3</t>
    </r>
  </si>
  <si>
    <t>Please note that this volume is only an estimate</t>
  </si>
  <si>
    <t>The volume of system sand required is the product of the length by the width by the number of section and by the thickness of the sand layer from which we subtract the volume of the Enviro-Septic Pipes.</t>
  </si>
  <si>
    <t>Estimation of the Volume of Imported Sand Required</t>
  </si>
  <si>
    <t>The volume of imported sand required is the product of the length by the width by the number of section and by the thickness of the imported sand layer enter on line 8.</t>
  </si>
  <si>
    <t xml:space="preserve">Final Configuration Validation </t>
  </si>
  <si>
    <t>"OK/ will be shown when all System O)) design rules of the configuration simulator have been met.</t>
  </si>
  <si>
    <t>Attention:</t>
  </si>
  <si>
    <t>The designer is responsible to conform to all applicable laws and to all System O)) design rules.  This simulator is provided free of charge as a configuration development tool and the user understands that DBO Expert inc. and its distributors cannot be held responsible for errors or omissions because of this service.</t>
  </si>
  <si>
    <t>Vérification des sections</t>
  </si>
  <si>
    <t>Quotient du nombre de rangées sur le nombre de section</t>
  </si>
  <si>
    <t>Arrondi suppérieur du quotient précédent</t>
  </si>
  <si>
    <t>Différence entre le quotient et l'arrondi</t>
  </si>
  <si>
    <t>Condition</t>
  </si>
  <si>
    <t>VRAI/FAUX</t>
  </si>
  <si>
    <t>Résultat</t>
  </si>
  <si>
    <t>à écrire</t>
  </si>
  <si>
    <t>Minimum contact area = QT/400, because T &gt; 15 min/cm</t>
  </si>
  <si>
    <t>Minimum contact area = QT/850, because T ≤ 15 min/cm and Q ≤ 3000 L/d</t>
  </si>
  <si>
    <t>Minimum contact area = Q/50, because T ≤ 15 min/cm and Q &gt; 3000 L/d</t>
  </si>
  <si>
    <t>≤≥</t>
  </si>
  <si>
    <t xml:space="preserve"> </t>
  </si>
  <si>
    <r>
      <t>E</t>
    </r>
    <r>
      <rPr>
        <b/>
        <vertAlign val="subscript"/>
        <sz val="14"/>
        <rFont val="Arial"/>
        <family val="2"/>
      </rPr>
      <t>L1</t>
    </r>
    <r>
      <rPr>
        <b/>
        <sz val="14"/>
        <rFont val="Arial"/>
        <family val="2"/>
      </rPr>
      <t>- Lateral Extension distance</t>
    </r>
  </si>
  <si>
    <r>
      <t>E</t>
    </r>
    <r>
      <rPr>
        <b/>
        <vertAlign val="subscript"/>
        <sz val="14"/>
        <rFont val="Arial"/>
        <family val="2"/>
      </rPr>
      <t>L2</t>
    </r>
    <r>
      <rPr>
        <b/>
        <sz val="14"/>
        <rFont val="Arial"/>
        <family val="2"/>
      </rPr>
      <t>- Lateral Extension distance</t>
    </r>
  </si>
  <si>
    <r>
      <t>E</t>
    </r>
    <r>
      <rPr>
        <b/>
        <vertAlign val="subscript"/>
        <sz val="14"/>
        <rFont val="Arial"/>
        <family val="2"/>
      </rPr>
      <t>E1</t>
    </r>
    <r>
      <rPr>
        <b/>
        <sz val="14"/>
        <rFont val="Arial"/>
        <family val="2"/>
      </rPr>
      <t xml:space="preserve"> - Extremity Extension Distance</t>
    </r>
  </si>
  <si>
    <r>
      <t>E</t>
    </r>
    <r>
      <rPr>
        <b/>
        <vertAlign val="subscript"/>
        <sz val="14"/>
        <rFont val="Arial"/>
        <family val="2"/>
      </rPr>
      <t>E2</t>
    </r>
    <r>
      <rPr>
        <b/>
        <sz val="14"/>
        <rFont val="Arial"/>
        <family val="2"/>
      </rPr>
      <t xml:space="preserve"> - Extremity Extension Distance</t>
    </r>
  </si>
  <si>
    <t>Total Enviro-Septic Contact Area</t>
  </si>
  <si>
    <t>"OK/ will be shown when all Enviro-Septic design rules of the configuration simulator have been met.</t>
  </si>
  <si>
    <t>Project:</t>
  </si>
  <si>
    <t>Designer:</t>
  </si>
  <si>
    <t>Date:</t>
  </si>
  <si>
    <t>Element</t>
  </si>
  <si>
    <t>Value</t>
  </si>
  <si>
    <t>Legend</t>
  </si>
  <si>
    <r>
      <t>D</t>
    </r>
    <r>
      <rPr>
        <vertAlign val="subscript"/>
        <sz val="12"/>
        <rFont val="Arial"/>
        <family val="2"/>
      </rPr>
      <t>S</t>
    </r>
  </si>
  <si>
    <t>Depth of receiving soil before limiting condition</t>
  </si>
  <si>
    <t>System O)) Design Flow</t>
  </si>
  <si>
    <r>
      <t>E</t>
    </r>
    <r>
      <rPr>
        <vertAlign val="subscript"/>
        <sz val="12"/>
        <rFont val="Arial"/>
        <family val="2"/>
      </rPr>
      <t>CC</t>
    </r>
  </si>
  <si>
    <t>Center to Center Spacing</t>
  </si>
  <si>
    <r>
      <t>E</t>
    </r>
    <r>
      <rPr>
        <vertAlign val="subscript"/>
        <sz val="12"/>
        <rFont val="Arial"/>
        <family val="2"/>
      </rPr>
      <t>E</t>
    </r>
  </si>
  <si>
    <t>Extremity Extension Distance</t>
  </si>
  <si>
    <r>
      <t>E</t>
    </r>
    <r>
      <rPr>
        <vertAlign val="subscript"/>
        <sz val="12"/>
        <rFont val="Arial"/>
        <family val="2"/>
      </rPr>
      <t>L</t>
    </r>
  </si>
  <si>
    <t>Lateral Extension Distance</t>
  </si>
  <si>
    <r>
      <t>E</t>
    </r>
    <r>
      <rPr>
        <vertAlign val="subscript"/>
        <sz val="12"/>
        <rFont val="Arial"/>
        <family val="2"/>
      </rPr>
      <t>L1</t>
    </r>
  </si>
  <si>
    <t>Lateral Extension Distance Up-hill (Sloped system)</t>
  </si>
  <si>
    <r>
      <t>E</t>
    </r>
    <r>
      <rPr>
        <vertAlign val="subscript"/>
        <sz val="12"/>
        <rFont val="Arial"/>
        <family val="2"/>
      </rPr>
      <t>L2</t>
    </r>
  </si>
  <si>
    <t>Lateral Extension Distance Down-hill (Sloped system)</t>
  </si>
  <si>
    <r>
      <t>I</t>
    </r>
    <r>
      <rPr>
        <vertAlign val="subscript"/>
        <sz val="12"/>
        <rFont val="Arial"/>
        <family val="2"/>
      </rPr>
      <t>S</t>
    </r>
  </si>
  <si>
    <t>Thickness of imported sand layer</t>
  </si>
  <si>
    <r>
      <t>m</t>
    </r>
    <r>
      <rPr>
        <vertAlign val="superscript"/>
        <sz val="14"/>
        <rFont val="Arial"/>
        <family val="2"/>
      </rPr>
      <t>2</t>
    </r>
  </si>
  <si>
    <t>L</t>
  </si>
  <si>
    <t>Length of one section of the Sysem O))</t>
  </si>
  <si>
    <r>
      <t>L/m</t>
    </r>
    <r>
      <rPr>
        <vertAlign val="superscript"/>
        <sz val="14"/>
        <rFont val="Arial"/>
        <family val="2"/>
      </rPr>
      <t>2</t>
    </r>
    <r>
      <rPr>
        <sz val="14"/>
        <rFont val="Arial"/>
        <family val="2"/>
      </rPr>
      <t>.d</t>
    </r>
  </si>
  <si>
    <r>
      <t>S</t>
    </r>
    <r>
      <rPr>
        <vertAlign val="subscript"/>
        <sz val="12"/>
        <rFont val="Arial"/>
        <family val="2"/>
      </rPr>
      <t>D</t>
    </r>
  </si>
  <si>
    <t>Separation distance under the system</t>
  </si>
  <si>
    <t>Estimation of the Volume of                    System Sand Required</t>
  </si>
  <si>
    <r>
      <t>m</t>
    </r>
    <r>
      <rPr>
        <vertAlign val="superscript"/>
        <sz val="14"/>
        <rFont val="Arial"/>
        <family val="2"/>
      </rPr>
      <t>3</t>
    </r>
  </si>
  <si>
    <r>
      <t>S</t>
    </r>
    <r>
      <rPr>
        <vertAlign val="subscript"/>
        <sz val="12"/>
        <rFont val="Arial"/>
        <family val="2"/>
      </rPr>
      <t>E</t>
    </r>
  </si>
  <si>
    <t>Sand Extension - Slope of more than 10%</t>
  </si>
  <si>
    <t>Estimation of the Volume of                    Imported Sand Required</t>
  </si>
  <si>
    <r>
      <t>S</t>
    </r>
    <r>
      <rPr>
        <vertAlign val="subscript"/>
        <sz val="12"/>
        <rFont val="Arial"/>
        <family val="2"/>
      </rPr>
      <t>Min</t>
    </r>
  </si>
  <si>
    <t>Minimum Vertical Separation distance form the base of the system to Rock, Clay or Water Table</t>
  </si>
  <si>
    <t>Custom spacings</t>
  </si>
  <si>
    <r>
      <t>W</t>
    </r>
    <r>
      <rPr>
        <vertAlign val="subscript"/>
        <sz val="12"/>
        <rFont val="Arial"/>
        <family val="2"/>
      </rPr>
      <t>1</t>
    </r>
  </si>
  <si>
    <t>Width of the rows (Centre-to-centre)</t>
  </si>
  <si>
    <t>Number of sections:</t>
  </si>
  <si>
    <r>
      <t>W</t>
    </r>
    <r>
      <rPr>
        <vertAlign val="subscript"/>
        <sz val="12"/>
        <rFont val="Arial"/>
        <family val="2"/>
      </rPr>
      <t>2</t>
    </r>
  </si>
  <si>
    <t>Width of one section of the System O))</t>
  </si>
  <si>
    <r>
      <t>W</t>
    </r>
    <r>
      <rPr>
        <vertAlign val="subscript"/>
        <sz val="10"/>
        <rFont val="Arial"/>
        <family val="2"/>
      </rPr>
      <t>3</t>
    </r>
  </si>
  <si>
    <t>Width of the System O)) with Sand Extension (when applicable)</t>
  </si>
  <si>
    <t>Top view of system (One section if multiple section system)</t>
  </si>
  <si>
    <t>(Drawing incomplete and not to scale )</t>
  </si>
  <si>
    <t xml:space="preserve">L1 = </t>
  </si>
  <si>
    <t>Slope=</t>
  </si>
  <si>
    <r>
      <t>E</t>
    </r>
    <r>
      <rPr>
        <vertAlign val="subscript"/>
        <sz val="14"/>
        <rFont val="Arial"/>
        <family val="2"/>
      </rPr>
      <t>CC</t>
    </r>
    <r>
      <rPr>
        <sz val="14"/>
        <rFont val="Arial"/>
        <family val="2"/>
      </rPr>
      <t>=</t>
    </r>
  </si>
  <si>
    <r>
      <t>W</t>
    </r>
    <r>
      <rPr>
        <vertAlign val="subscript"/>
        <sz val="14"/>
        <rFont val="Arial"/>
        <family val="2"/>
      </rPr>
      <t>1</t>
    </r>
    <r>
      <rPr>
        <sz val="14"/>
        <rFont val="Arial"/>
        <family val="2"/>
      </rPr>
      <t>=</t>
    </r>
  </si>
  <si>
    <r>
      <t>W</t>
    </r>
    <r>
      <rPr>
        <vertAlign val="subscript"/>
        <sz val="16"/>
        <rFont val="Arial"/>
        <family val="2"/>
      </rPr>
      <t>2</t>
    </r>
    <r>
      <rPr>
        <sz val="16"/>
        <rFont val="Arial"/>
        <family val="2"/>
      </rPr>
      <t>=</t>
    </r>
  </si>
  <si>
    <r>
      <t>W</t>
    </r>
    <r>
      <rPr>
        <vertAlign val="subscript"/>
        <sz val="16"/>
        <rFont val="Arial"/>
        <family val="2"/>
      </rPr>
      <t>3</t>
    </r>
    <r>
      <rPr>
        <sz val="16"/>
        <rFont val="Arial"/>
        <family val="2"/>
      </rPr>
      <t>=</t>
    </r>
  </si>
  <si>
    <r>
      <t>S</t>
    </r>
    <r>
      <rPr>
        <vertAlign val="subscript"/>
        <sz val="14"/>
        <rFont val="Arial"/>
        <family val="2"/>
      </rPr>
      <t>E</t>
    </r>
    <r>
      <rPr>
        <sz val="14"/>
        <rFont val="Arial"/>
        <family val="2"/>
      </rPr>
      <t>=</t>
    </r>
  </si>
  <si>
    <r>
      <t>L</t>
    </r>
    <r>
      <rPr>
        <vertAlign val="subscript"/>
        <sz val="14"/>
        <rFont val="Arial"/>
        <family val="2"/>
      </rPr>
      <t>2</t>
    </r>
    <r>
      <rPr>
        <sz val="14"/>
        <rFont val="Arial"/>
        <family val="2"/>
      </rPr>
      <t>=</t>
    </r>
  </si>
  <si>
    <t>System Cross section (One section if multiple section system)</t>
  </si>
  <si>
    <r>
      <t>I</t>
    </r>
    <r>
      <rPr>
        <vertAlign val="subscript"/>
        <sz val="14"/>
        <rFont val="Arial"/>
        <family val="2"/>
      </rPr>
      <t>S</t>
    </r>
    <r>
      <rPr>
        <sz val="14"/>
        <rFont val="Arial"/>
        <family val="2"/>
      </rPr>
      <t>=</t>
    </r>
  </si>
  <si>
    <r>
      <t>S</t>
    </r>
    <r>
      <rPr>
        <vertAlign val="subscript"/>
        <sz val="14"/>
        <rFont val="Arial"/>
        <family val="2"/>
      </rPr>
      <t>D</t>
    </r>
    <r>
      <rPr>
        <sz val="14"/>
        <rFont val="Arial"/>
        <family val="2"/>
      </rPr>
      <t>=</t>
    </r>
  </si>
  <si>
    <r>
      <t>D</t>
    </r>
    <r>
      <rPr>
        <vertAlign val="subscript"/>
        <sz val="14"/>
        <rFont val="Arial"/>
        <family val="2"/>
      </rPr>
      <t>S</t>
    </r>
    <r>
      <rPr>
        <sz val="14"/>
        <rFont val="Arial"/>
        <family val="2"/>
      </rPr>
      <t>=</t>
    </r>
  </si>
  <si>
    <t>System O)) Quotation</t>
  </si>
  <si>
    <t>Number of rows (total)</t>
  </si>
  <si>
    <t>Number of AES pipe per row</t>
  </si>
  <si>
    <t>Number of section</t>
  </si>
  <si>
    <t>Quantity</t>
  </si>
  <si>
    <t>Product</t>
  </si>
  <si>
    <t>Advanced Enviro-Septic pipe (Linear foot)</t>
  </si>
  <si>
    <t>Enviro-Septic Coupling</t>
  </si>
  <si>
    <t>ESP, Single Adaptor</t>
  </si>
  <si>
    <t>ESP, Piezovent, double adaptor</t>
  </si>
  <si>
    <t>Piezometer End Caps</t>
  </si>
  <si>
    <t>ESP, Distribution Box</t>
  </si>
  <si>
    <t>ESP, Equalizers</t>
  </si>
  <si>
    <t>ESP, Sample Device</t>
  </si>
  <si>
    <t>Estimer ECC si ECC = 2 EL et ECC = 2 *(EE+0,15)</t>
  </si>
  <si>
    <t>Avec pente de 0 à 3 %</t>
  </si>
  <si>
    <t>Avec Pente de &gt; à 3%</t>
  </si>
  <si>
    <t>Dans l'équation quadratique (ax2 + bx + c = 0)</t>
  </si>
  <si>
    <t>a= nombre de rangée Enviro-Septic par section</t>
  </si>
  <si>
    <t>b= (Longueur d'une rangée * Nombre de rangée) - (0,3 * Nombre de rangée)</t>
  </si>
  <si>
    <t>c= Aire du lit d'absorption</t>
  </si>
  <si>
    <t>a=</t>
  </si>
  <si>
    <t>b=</t>
  </si>
  <si>
    <t>c=</t>
  </si>
  <si>
    <t>Ecc</t>
  </si>
  <si>
    <t>El</t>
  </si>
  <si>
    <t>Ee</t>
  </si>
  <si>
    <t>El2</t>
  </si>
  <si>
    <t>El1</t>
  </si>
  <si>
    <t>W-Largeur</t>
  </si>
  <si>
    <t>Calculé</t>
  </si>
  <si>
    <t>Retenu</t>
  </si>
  <si>
    <t>1er ajustement</t>
  </si>
  <si>
    <t>Retenu Final</t>
  </si>
  <si>
    <t>équation quadratique y = ax²+bx+c</t>
  </si>
  <si>
    <t>Vous pouvez modifier les valeurs en jaune seulement.</t>
  </si>
  <si>
    <t>a =</t>
  </si>
  <si>
    <t>b =</t>
  </si>
  <si>
    <t>c =</t>
  </si>
  <si>
    <t>D =</t>
  </si>
  <si>
    <t>Racines</t>
  </si>
  <si>
    <t>foyer1</t>
  </si>
  <si>
    <t>foyer2</t>
  </si>
  <si>
    <t>x1 =</t>
  </si>
  <si>
    <t>x2 =</t>
  </si>
  <si>
    <t>sommet</t>
  </si>
  <si>
    <t>x</t>
  </si>
  <si>
    <t>y</t>
  </si>
  <si>
    <t>données pour le graphique</t>
  </si>
  <si>
    <t>No</t>
  </si>
  <si>
    <t>Enter the number of pipes per row for the configuration wanted. This number should equal or greater than 1 without going over 10.</t>
  </si>
  <si>
    <t>Version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</si>
</sst>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 * #,##0.00_)\ &quot;$&quot;_ ;_ * \(#,##0.00\)\ &quot;$&quot;_ ;_ * &quot;-&quot;??_)\ &quot;$&quot;_ ;_ @_ "/>
    <numFmt numFmtId="165" formatCode="0.0"/>
    <numFmt numFmtId="166" formatCode="0.0000"/>
  </numFmts>
  <fonts count="38" x14ac:knownFonts="1">
    <font>
      <sz val="10"/>
      <name val="Arial"/>
    </font>
    <font>
      <sz val="10"/>
      <name val="Arial"/>
      <family val="2"/>
    </font>
    <font>
      <sz val="8"/>
      <name val="Arial"/>
      <family val="2"/>
    </font>
    <font>
      <b/>
      <sz val="10"/>
      <name val="Arial"/>
      <family val="2"/>
    </font>
    <font>
      <b/>
      <sz val="18"/>
      <name val="Arial"/>
      <family val="2"/>
    </font>
    <font>
      <b/>
      <sz val="14"/>
      <name val="Arial"/>
      <family val="2"/>
    </font>
    <font>
      <b/>
      <sz val="12"/>
      <name val="Arial"/>
      <family val="2"/>
    </font>
    <font>
      <b/>
      <sz val="16"/>
      <name val="Arial"/>
      <family val="2"/>
    </font>
    <font>
      <b/>
      <vertAlign val="superscript"/>
      <sz val="16"/>
      <name val="Arial"/>
      <family val="2"/>
    </font>
    <font>
      <b/>
      <sz val="22"/>
      <name val="Arial"/>
      <family val="2"/>
    </font>
    <font>
      <b/>
      <vertAlign val="subscript"/>
      <sz val="14"/>
      <name val="Arial"/>
      <family val="2"/>
    </font>
    <font>
      <sz val="16"/>
      <name val="Arial"/>
      <family val="2"/>
    </font>
    <font>
      <sz val="12"/>
      <name val="Arial"/>
      <family val="2"/>
    </font>
    <font>
      <sz val="14"/>
      <name val="Arial"/>
      <family val="2"/>
    </font>
    <font>
      <vertAlign val="subscript"/>
      <sz val="16"/>
      <name val="Arial"/>
      <family val="2"/>
    </font>
    <font>
      <u/>
      <sz val="18"/>
      <name val="Arial"/>
      <family val="2"/>
    </font>
    <font>
      <b/>
      <i/>
      <sz val="12"/>
      <name val="Arial"/>
      <family val="2"/>
    </font>
    <font>
      <b/>
      <i/>
      <vertAlign val="subscript"/>
      <sz val="12"/>
      <name val="Arial"/>
      <family val="2"/>
    </font>
    <font>
      <b/>
      <sz val="18"/>
      <color indexed="10"/>
      <name val="Arial"/>
      <family val="2"/>
    </font>
    <font>
      <vertAlign val="superscript"/>
      <sz val="14"/>
      <name val="Arial"/>
      <family val="2"/>
    </font>
    <font>
      <vertAlign val="subscript"/>
      <sz val="12"/>
      <name val="Arial"/>
      <family val="2"/>
    </font>
    <font>
      <b/>
      <i/>
      <sz val="14"/>
      <name val="Arial"/>
      <family val="2"/>
    </font>
    <font>
      <b/>
      <i/>
      <vertAlign val="subscript"/>
      <sz val="14"/>
      <name val="Arial"/>
      <family val="2"/>
    </font>
    <font>
      <b/>
      <i/>
      <sz val="16"/>
      <name val="Arial"/>
      <family val="2"/>
    </font>
    <font>
      <sz val="10"/>
      <name val="Calibri"/>
      <family val="2"/>
    </font>
    <font>
      <b/>
      <sz val="24"/>
      <name val="Arial"/>
      <family val="2"/>
    </font>
    <font>
      <sz val="24"/>
      <name val="Arial"/>
      <family val="2"/>
    </font>
    <font>
      <sz val="10"/>
      <color indexed="9"/>
      <name val="Arial"/>
      <family val="2"/>
    </font>
    <font>
      <sz val="10"/>
      <name val="Times New Roman"/>
      <family val="1"/>
    </font>
    <font>
      <sz val="10"/>
      <name val="Symbol"/>
      <family val="1"/>
      <charset val="2"/>
    </font>
    <font>
      <sz val="20"/>
      <name val="Arial"/>
      <family val="2"/>
    </font>
    <font>
      <sz val="22"/>
      <name val="Arial"/>
      <family val="2"/>
    </font>
    <font>
      <sz val="17"/>
      <name val="Calibri"/>
      <family val="2"/>
      <scheme val="minor"/>
    </font>
    <font>
      <sz val="13"/>
      <name val="Calibri"/>
      <family val="2"/>
      <scheme val="minor"/>
    </font>
    <font>
      <b/>
      <u/>
      <sz val="13"/>
      <name val="Calibri"/>
      <family val="2"/>
      <scheme val="minor"/>
    </font>
    <font>
      <vertAlign val="subscript"/>
      <sz val="14"/>
      <name val="Arial"/>
      <family val="2"/>
    </font>
    <font>
      <sz val="18"/>
      <name val="Arial"/>
      <family val="2"/>
    </font>
    <font>
      <vertAlign val="subscript"/>
      <sz val="10"/>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
      <patternFill patternType="solid">
        <fgColor rgb="FFC0C0C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cellStyleXfs>
  <cellXfs count="147">
    <xf numFmtId="0" fontId="0" fillId="0" borderId="0" xfId="0"/>
    <xf numFmtId="0" fontId="0" fillId="0" borderId="0" xfId="0" applyProtection="1">
      <protection hidden="1"/>
    </xf>
    <xf numFmtId="0" fontId="4" fillId="0" borderId="0" xfId="0" applyFont="1" applyProtection="1">
      <protection hidden="1"/>
    </xf>
    <xf numFmtId="0" fontId="6" fillId="0" borderId="1" xfId="0" applyFont="1" applyBorder="1" applyAlignment="1" applyProtection="1">
      <alignment horizontal="left" vertical="top" wrapText="1"/>
      <protection hidden="1"/>
    </xf>
    <xf numFmtId="0" fontId="5" fillId="0" borderId="0" xfId="0" applyFont="1" applyAlignment="1" applyProtection="1">
      <alignment horizontal="right"/>
      <protection hidden="1"/>
    </xf>
    <xf numFmtId="0" fontId="7" fillId="2"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hidden="1"/>
    </xf>
    <xf numFmtId="2" fontId="7" fillId="3" borderId="1" xfId="0" applyNumberFormat="1" applyFont="1" applyFill="1" applyBorder="1" applyAlignment="1" applyProtection="1">
      <alignment horizontal="center" vertical="center"/>
      <protection hidden="1"/>
    </xf>
    <xf numFmtId="165" fontId="7" fillId="3" borderId="1" xfId="0" applyNumberFormat="1"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1" fillId="0" borderId="0" xfId="0" applyFont="1" applyProtection="1">
      <protection hidden="1"/>
    </xf>
    <xf numFmtId="0" fontId="9" fillId="0" borderId="0" xfId="0" applyFont="1" applyProtection="1">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Alignment="1" applyProtection="1">
      <alignment horizontal="right" vertical="center" wrapText="1"/>
      <protection hidden="1"/>
    </xf>
    <xf numFmtId="0" fontId="6" fillId="0" borderId="0" xfId="0" applyFont="1" applyAlignment="1" applyProtection="1">
      <alignment horizontal="left" vertical="top" wrapText="1"/>
      <protection hidden="1"/>
    </xf>
    <xf numFmtId="0" fontId="12" fillId="0" borderId="0" xfId="0" applyFont="1" applyProtection="1">
      <protection hidden="1"/>
    </xf>
    <xf numFmtId="0" fontId="4" fillId="0" borderId="0" xfId="0" applyFont="1" applyAlignment="1" applyProtection="1">
      <alignment horizontal="right" vertical="center"/>
      <protection hidden="1"/>
    </xf>
    <xf numFmtId="0" fontId="5" fillId="0" borderId="1" xfId="0" applyFont="1" applyBorder="1" applyAlignment="1" applyProtection="1">
      <alignment horizontal="left" vertical="center" wrapText="1"/>
      <protection hidden="1"/>
    </xf>
    <xf numFmtId="0" fontId="16" fillId="0" borderId="1" xfId="0" applyFont="1" applyBorder="1" applyAlignment="1" applyProtection="1">
      <alignment horizontal="right" vertical="center" wrapText="1"/>
      <protection hidden="1"/>
    </xf>
    <xf numFmtId="0" fontId="13" fillId="0" borderId="1" xfId="0" applyFont="1" applyBorder="1" applyAlignment="1" applyProtection="1">
      <alignment horizontal="center"/>
      <protection hidden="1"/>
    </xf>
    <xf numFmtId="0" fontId="13" fillId="0" borderId="0" xfId="0" applyFont="1" applyProtection="1">
      <protection hidden="1"/>
    </xf>
    <xf numFmtId="0" fontId="12" fillId="0" borderId="1" xfId="0" applyFont="1" applyBorder="1" applyProtection="1">
      <protection hidden="1"/>
    </xf>
    <xf numFmtId="0" fontId="15" fillId="0" borderId="0" xfId="0" applyFont="1" applyProtection="1">
      <protection hidden="1"/>
    </xf>
    <xf numFmtId="0" fontId="0" fillId="0" borderId="0" xfId="0" applyAlignment="1" applyProtection="1">
      <alignment horizontal="center"/>
      <protection hidden="1"/>
    </xf>
    <xf numFmtId="1" fontId="7" fillId="3" borderId="1" xfId="0" applyNumberFormat="1" applyFont="1" applyFill="1" applyBorder="1" applyAlignment="1" applyProtection="1">
      <alignment horizontal="center" vertical="center"/>
      <protection hidden="1"/>
    </xf>
    <xf numFmtId="1" fontId="7" fillId="2" borderId="1" xfId="0" applyNumberFormat="1" applyFont="1" applyFill="1" applyBorder="1" applyAlignment="1" applyProtection="1">
      <alignment horizontal="center" vertical="center"/>
      <protection locked="0"/>
    </xf>
    <xf numFmtId="0" fontId="21" fillId="0" borderId="1" xfId="0" applyFont="1" applyBorder="1" applyAlignment="1" applyProtection="1">
      <alignment horizontal="right" vertical="center" wrapText="1"/>
      <protection hidden="1"/>
    </xf>
    <xf numFmtId="0" fontId="3" fillId="0" borderId="0" xfId="0" applyFont="1" applyAlignment="1" applyProtection="1">
      <alignment horizontal="center" vertical="top"/>
      <protection hidden="1"/>
    </xf>
    <xf numFmtId="0" fontId="3" fillId="0" borderId="0" xfId="0" applyFont="1" applyAlignment="1" applyProtection="1">
      <alignment horizontal="center"/>
      <protection hidden="1"/>
    </xf>
    <xf numFmtId="0" fontId="24" fillId="0" borderId="0" xfId="0" applyFont="1" applyProtection="1">
      <protection hidden="1"/>
    </xf>
    <xf numFmtId="9" fontId="11" fillId="0" borderId="0" xfId="1" applyFont="1" applyBorder="1" applyAlignment="1" applyProtection="1">
      <protection hidden="1"/>
    </xf>
    <xf numFmtId="0" fontId="13" fillId="0" borderId="0" xfId="0" applyFont="1" applyAlignment="1" applyProtection="1">
      <alignment horizontal="left"/>
      <protection hidden="1"/>
    </xf>
    <xf numFmtId="0" fontId="25" fillId="0" borderId="0" xfId="0" applyFont="1" applyAlignment="1" applyProtection="1">
      <alignment horizontal="center"/>
      <protection hidden="1"/>
    </xf>
    <xf numFmtId="14" fontId="26" fillId="0" borderId="0" xfId="0" applyNumberFormat="1" applyFont="1" applyProtection="1">
      <protection hidden="1"/>
    </xf>
    <xf numFmtId="0" fontId="11" fillId="0" borderId="2" xfId="0" applyFont="1" applyBorder="1" applyProtection="1">
      <protection hidden="1"/>
    </xf>
    <xf numFmtId="9" fontId="11" fillId="0" borderId="3" xfId="1" applyFont="1" applyBorder="1" applyAlignment="1" applyProtection="1">
      <alignment horizontal="left"/>
      <protection hidden="1"/>
    </xf>
    <xf numFmtId="0" fontId="0" fillId="0" borderId="0" xfId="0" applyAlignment="1">
      <alignment horizontal="center"/>
    </xf>
    <xf numFmtId="0" fontId="27" fillId="0" borderId="0" xfId="0" applyFont="1"/>
    <xf numFmtId="0" fontId="0" fillId="0" borderId="0" xfId="0" applyAlignment="1">
      <alignment horizontal="right"/>
    </xf>
    <xf numFmtId="0" fontId="28" fillId="0" borderId="0" xfId="0" applyFont="1" applyAlignment="1">
      <alignment horizontal="right"/>
    </xf>
    <xf numFmtId="0" fontId="29" fillId="0" borderId="0" xfId="0" applyFont="1" applyAlignment="1">
      <alignment horizontal="right"/>
    </xf>
    <xf numFmtId="0" fontId="0" fillId="5" borderId="0" xfId="0" applyFill="1"/>
    <xf numFmtId="1" fontId="0" fillId="0" borderId="0" xfId="0" applyNumberFormat="1" applyProtection="1">
      <protection hidden="1"/>
    </xf>
    <xf numFmtId="0" fontId="23" fillId="0" borderId="1" xfId="0" applyFont="1" applyBorder="1" applyAlignment="1" applyProtection="1">
      <alignment horizontal="right" vertical="center" wrapText="1"/>
      <protection hidden="1"/>
    </xf>
    <xf numFmtId="2" fontId="0" fillId="0" borderId="0" xfId="0" applyNumberFormat="1"/>
    <xf numFmtId="165" fontId="0" fillId="0" borderId="0" xfId="0" applyNumberFormat="1"/>
    <xf numFmtId="3" fontId="7" fillId="2" borderId="1" xfId="0" applyNumberFormat="1" applyFont="1" applyFill="1" applyBorder="1" applyAlignment="1" applyProtection="1">
      <alignment horizontal="center" vertical="center"/>
      <protection locked="0"/>
    </xf>
    <xf numFmtId="0" fontId="1" fillId="0" borderId="0" xfId="2"/>
    <xf numFmtId="0" fontId="33" fillId="0" borderId="0" xfId="2" applyFont="1"/>
    <xf numFmtId="0" fontId="33" fillId="0" borderId="15" xfId="2" applyFont="1" applyBorder="1" applyAlignment="1">
      <alignment horizontal="center" vertical="center"/>
    </xf>
    <xf numFmtId="0" fontId="33" fillId="0" borderId="0" xfId="2" applyFont="1" applyAlignment="1">
      <alignment vertical="center"/>
    </xf>
    <xf numFmtId="0" fontId="33" fillId="0" borderId="16" xfId="2" applyFont="1" applyBorder="1" applyAlignment="1">
      <alignment vertical="center"/>
    </xf>
    <xf numFmtId="0" fontId="33" fillId="0" borderId="0" xfId="2" applyFont="1" applyAlignment="1">
      <alignment horizontal="left" vertical="center"/>
    </xf>
    <xf numFmtId="0" fontId="33" fillId="0" borderId="16" xfId="2" applyFont="1" applyBorder="1" applyAlignment="1">
      <alignment horizontal="left" vertical="center"/>
    </xf>
    <xf numFmtId="2" fontId="11" fillId="0" borderId="0" xfId="0" applyNumberFormat="1" applyFont="1" applyProtection="1">
      <protection hidden="1"/>
    </xf>
    <xf numFmtId="2" fontId="13" fillId="0" borderId="0" xfId="0" applyNumberFormat="1" applyFont="1" applyProtection="1">
      <protection hidden="1"/>
    </xf>
    <xf numFmtId="0" fontId="1" fillId="0" borderId="0" xfId="0" applyFont="1"/>
    <xf numFmtId="1" fontId="0" fillId="0" borderId="0" xfId="0" applyNumberFormat="1"/>
    <xf numFmtId="0" fontId="24" fillId="0" borderId="0" xfId="0" applyFont="1"/>
    <xf numFmtId="0" fontId="4" fillId="0" borderId="0" xfId="0" applyFont="1" applyAlignment="1" applyProtection="1">
      <alignment horizontal="center"/>
      <protection hidden="1"/>
    </xf>
    <xf numFmtId="0" fontId="18" fillId="0" borderId="0" xfId="0" applyFont="1" applyAlignment="1" applyProtection="1">
      <alignment horizontal="center"/>
      <protection hidden="1"/>
    </xf>
    <xf numFmtId="0" fontId="23" fillId="3" borderId="1" xfId="0" applyFont="1" applyFill="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7" fillId="2" borderId="2" xfId="0"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33" fillId="8" borderId="17" xfId="2" applyFont="1" applyFill="1" applyBorder="1" applyAlignment="1">
      <alignment horizontal="center" vertical="center"/>
    </xf>
    <xf numFmtId="0" fontId="33" fillId="8" borderId="13" xfId="2" applyFont="1" applyFill="1" applyBorder="1" applyAlignment="1">
      <alignment horizontal="center" vertical="center"/>
    </xf>
    <xf numFmtId="0" fontId="30" fillId="0" borderId="8" xfId="0" applyFont="1" applyBorder="1" applyProtection="1">
      <protection hidden="1"/>
    </xf>
    <xf numFmtId="0" fontId="0" fillId="0" borderId="19" xfId="0" applyBorder="1" applyProtection="1">
      <protection hidden="1"/>
    </xf>
    <xf numFmtId="0" fontId="31" fillId="0" borderId="10" xfId="0" applyFont="1" applyBorder="1" applyProtection="1">
      <protection hidden="1"/>
    </xf>
    <xf numFmtId="0" fontId="36" fillId="0" borderId="0" xfId="0" applyFont="1" applyProtection="1">
      <protection hidden="1"/>
    </xf>
    <xf numFmtId="0" fontId="7" fillId="2" borderId="2" xfId="0" applyFont="1" applyFill="1" applyBorder="1" applyAlignment="1" applyProtection="1">
      <alignment horizontal="left" vertical="center"/>
      <protection locked="0"/>
    </xf>
    <xf numFmtId="0" fontId="6" fillId="10" borderId="1" xfId="0" applyFont="1" applyFill="1" applyBorder="1" applyAlignment="1">
      <alignment horizontal="left" vertical="center" wrapText="1"/>
    </xf>
    <xf numFmtId="0" fontId="1" fillId="0" borderId="0" xfId="0" applyFont="1" applyProtection="1">
      <protection hidden="1"/>
    </xf>
    <xf numFmtId="0" fontId="1" fillId="0" borderId="0" xfId="0" applyFont="1" applyAlignment="1">
      <alignment horizontal="right"/>
    </xf>
    <xf numFmtId="0" fontId="3" fillId="0" borderId="0" xfId="0" applyFont="1" applyAlignment="1" applyProtection="1">
      <alignment horizontal="left" vertical="center" wrapText="1"/>
      <protection hidden="1"/>
    </xf>
    <xf numFmtId="0" fontId="9" fillId="0" borderId="1" xfId="0" applyFont="1" applyBorder="1" applyAlignment="1" applyProtection="1">
      <alignment horizontal="right" vertical="center" wrapText="1"/>
      <protection hidden="1"/>
    </xf>
    <xf numFmtId="0" fontId="7" fillId="0" borderId="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protection hidden="1"/>
    </xf>
    <xf numFmtId="2" fontId="13" fillId="0" borderId="1" xfId="0" applyNumberFormat="1" applyFont="1" applyBorder="1" applyAlignment="1" applyProtection="1">
      <alignment horizontal="center" vertical="center"/>
      <protection hidden="1"/>
    </xf>
    <xf numFmtId="0" fontId="3" fillId="0" borderId="0" xfId="0" applyFont="1" applyAlignment="1" applyProtection="1">
      <alignment horizontal="left" vertical="top" wrapText="1"/>
      <protection hidden="1"/>
    </xf>
    <xf numFmtId="2" fontId="13" fillId="0" borderId="20" xfId="0" applyNumberFormat="1" applyFont="1" applyBorder="1" applyAlignment="1" applyProtection="1">
      <alignment horizontal="center"/>
      <protection hidden="1"/>
    </xf>
    <xf numFmtId="2" fontId="13" fillId="0" borderId="9" xfId="0" applyNumberFormat="1" applyFont="1" applyBorder="1" applyAlignment="1" applyProtection="1">
      <alignment horizontal="center"/>
      <protection hidden="1"/>
    </xf>
    <xf numFmtId="2" fontId="13" fillId="0" borderId="19" xfId="0" applyNumberFormat="1" applyFont="1" applyBorder="1" applyAlignment="1" applyProtection="1">
      <alignment horizontal="center"/>
      <protection hidden="1"/>
    </xf>
    <xf numFmtId="2" fontId="13" fillId="0" borderId="10" xfId="0" applyNumberFormat="1" applyFont="1" applyBorder="1" applyAlignment="1" applyProtection="1">
      <alignment horizontal="center"/>
      <protection hidden="1"/>
    </xf>
    <xf numFmtId="0" fontId="0" fillId="0" borderId="0" xfId="0" applyAlignment="1" applyProtection="1">
      <alignment horizontal="center"/>
      <protection hidden="1"/>
    </xf>
    <xf numFmtId="2" fontId="13" fillId="0" borderId="1" xfId="0" applyNumberFormat="1" applyFont="1" applyBorder="1" applyAlignment="1" applyProtection="1">
      <alignment horizontal="center"/>
      <protection hidden="1"/>
    </xf>
    <xf numFmtId="0" fontId="13" fillId="0" borderId="1" xfId="0" applyFont="1" applyBorder="1" applyAlignment="1" applyProtection="1">
      <alignment horizontal="center"/>
      <protection hidden="1"/>
    </xf>
    <xf numFmtId="0" fontId="13" fillId="0" borderId="7" xfId="0" applyFont="1" applyBorder="1" applyAlignment="1" applyProtection="1">
      <alignment horizontal="center"/>
      <protection hidden="1"/>
    </xf>
    <xf numFmtId="0" fontId="13" fillId="0" borderId="8" xfId="0" applyFont="1" applyBorder="1" applyAlignment="1" applyProtection="1">
      <alignment horizontal="center"/>
      <protection hidden="1"/>
    </xf>
    <xf numFmtId="0" fontId="11" fillId="0" borderId="1" xfId="0"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13" fillId="0" borderId="21"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166" fontId="13" fillId="0" borderId="1" xfId="0" applyNumberFormat="1" applyFont="1" applyBorder="1" applyAlignment="1" applyProtection="1">
      <alignment horizontal="center"/>
      <protection hidden="1"/>
    </xf>
    <xf numFmtId="0" fontId="11" fillId="0" borderId="7" xfId="0" applyFont="1" applyBorder="1" applyAlignment="1" applyProtection="1">
      <alignment horizontal="center"/>
      <protection hidden="1"/>
    </xf>
    <xf numFmtId="0" fontId="11" fillId="0" borderId="8" xfId="0" applyFont="1" applyBorder="1" applyAlignment="1" applyProtection="1">
      <alignment horizontal="center"/>
      <protection hidden="1"/>
    </xf>
    <xf numFmtId="9" fontId="11" fillId="0" borderId="9" xfId="1" applyFont="1" applyBorder="1" applyAlignment="1" applyProtection="1">
      <alignment horizontal="center"/>
      <protection hidden="1"/>
    </xf>
    <xf numFmtId="9" fontId="11" fillId="0" borderId="10" xfId="1" applyFont="1" applyBorder="1" applyAlignment="1" applyProtection="1">
      <alignment horizontal="center"/>
      <protection hidden="1"/>
    </xf>
    <xf numFmtId="0" fontId="13" fillId="0" borderId="7" xfId="0" applyFont="1" applyBorder="1" applyAlignment="1" applyProtection="1">
      <alignment horizontal="right"/>
      <protection hidden="1"/>
    </xf>
    <xf numFmtId="0" fontId="13" fillId="0" borderId="8" xfId="0" applyFont="1" applyBorder="1" applyAlignment="1" applyProtection="1">
      <alignment horizontal="right"/>
      <protection hidden="1"/>
    </xf>
    <xf numFmtId="0" fontId="13" fillId="0" borderId="20" xfId="0" applyFont="1" applyBorder="1" applyAlignment="1" applyProtection="1">
      <alignment horizontal="center"/>
      <protection hidden="1"/>
    </xf>
    <xf numFmtId="0" fontId="13" fillId="0" borderId="9" xfId="0" applyFont="1" applyBorder="1" applyAlignment="1" applyProtection="1">
      <alignment horizontal="center"/>
      <protection hidden="1"/>
    </xf>
    <xf numFmtId="0" fontId="13" fillId="0" borderId="19" xfId="0" applyFont="1" applyBorder="1" applyAlignment="1" applyProtection="1">
      <alignment horizontal="center"/>
      <protection hidden="1"/>
    </xf>
    <xf numFmtId="0" fontId="13" fillId="0" borderId="10" xfId="0" applyFont="1" applyBorder="1" applyAlignment="1" applyProtection="1">
      <alignment horizontal="center"/>
      <protection hidden="1"/>
    </xf>
    <xf numFmtId="0" fontId="13" fillId="9" borderId="1" xfId="0" applyFont="1" applyFill="1" applyBorder="1" applyAlignment="1" applyProtection="1">
      <alignment horizontal="center"/>
      <protection hidden="1"/>
    </xf>
    <xf numFmtId="0" fontId="12" fillId="0" borderId="2" xfId="0" applyFont="1" applyBorder="1" applyAlignment="1" applyProtection="1">
      <alignment horizontal="left" wrapText="1"/>
      <protection hidden="1"/>
    </xf>
    <xf numFmtId="0" fontId="12" fillId="0" borderId="4" xfId="0" applyFont="1" applyBorder="1" applyAlignment="1" applyProtection="1">
      <alignment horizontal="left" wrapText="1"/>
      <protection hidden="1"/>
    </xf>
    <xf numFmtId="0" fontId="12" fillId="0" borderId="3" xfId="0" applyFont="1" applyBorder="1" applyAlignment="1" applyProtection="1">
      <alignment horizontal="left" wrapText="1"/>
      <protection hidden="1"/>
    </xf>
    <xf numFmtId="0" fontId="12" fillId="0" borderId="2"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3" fillId="0" borderId="2" xfId="0" applyFont="1" applyBorder="1" applyAlignment="1" applyProtection="1">
      <alignment horizontal="right" wrapText="1"/>
      <protection hidden="1"/>
    </xf>
    <xf numFmtId="0" fontId="13" fillId="0" borderId="4" xfId="0" applyFont="1" applyBorder="1" applyAlignment="1" applyProtection="1">
      <alignment horizontal="right" wrapText="1"/>
      <protection hidden="1"/>
    </xf>
    <xf numFmtId="0" fontId="13" fillId="0" borderId="3" xfId="0" applyFont="1" applyBorder="1" applyAlignment="1" applyProtection="1">
      <alignment horizontal="right" wrapText="1"/>
      <protection hidden="1"/>
    </xf>
    <xf numFmtId="165" fontId="13" fillId="0" borderId="1" xfId="0" applyNumberFormat="1" applyFont="1" applyBorder="1" applyAlignment="1" applyProtection="1">
      <alignment horizontal="center"/>
      <protection hidden="1"/>
    </xf>
    <xf numFmtId="0" fontId="13" fillId="0" borderId="1" xfId="0" applyFont="1" applyBorder="1" applyAlignment="1" applyProtection="1">
      <alignment horizontal="right" wrapText="1"/>
      <protection hidden="1"/>
    </xf>
    <xf numFmtId="0" fontId="13" fillId="0" borderId="1" xfId="0" applyFont="1" applyBorder="1" applyAlignment="1" applyProtection="1">
      <alignment horizontal="right"/>
      <protection hidden="1"/>
    </xf>
    <xf numFmtId="0" fontId="13" fillId="0" borderId="2" xfId="0" applyFont="1" applyBorder="1" applyAlignment="1" applyProtection="1">
      <alignment horizontal="left"/>
      <protection hidden="1"/>
    </xf>
    <xf numFmtId="0" fontId="13" fillId="0" borderId="4" xfId="0" applyFont="1" applyBorder="1" applyAlignment="1" applyProtection="1">
      <alignment horizontal="left"/>
      <protection hidden="1"/>
    </xf>
    <xf numFmtId="0" fontId="13" fillId="0" borderId="3" xfId="0" applyFont="1" applyBorder="1" applyAlignment="1" applyProtection="1">
      <alignment horizontal="left"/>
      <protection hidden="1"/>
    </xf>
    <xf numFmtId="0" fontId="13" fillId="0" borderId="1" xfId="0" applyFont="1" applyBorder="1" applyAlignment="1" applyProtection="1">
      <alignment horizontal="left"/>
      <protection hidden="1"/>
    </xf>
    <xf numFmtId="14" fontId="13" fillId="0" borderId="1" xfId="0" applyNumberFormat="1" applyFont="1" applyBorder="1" applyAlignment="1" applyProtection="1">
      <alignment horizontal="center"/>
      <protection hidden="1"/>
    </xf>
    <xf numFmtId="0" fontId="33" fillId="0" borderId="11" xfId="2" applyFont="1" applyBorder="1" applyAlignment="1">
      <alignment horizontal="center" vertical="center"/>
    </xf>
    <xf numFmtId="0" fontId="33" fillId="0" borderId="13" xfId="2" applyFont="1" applyBorder="1" applyAlignment="1">
      <alignment horizontal="center" vertical="center"/>
    </xf>
    <xf numFmtId="0" fontId="33" fillId="0" borderId="12" xfId="2" applyFont="1" applyBorder="1" applyAlignment="1">
      <alignment horizontal="left" vertical="center"/>
    </xf>
    <xf numFmtId="0" fontId="33" fillId="0" borderId="22" xfId="2" applyFont="1" applyBorder="1" applyAlignment="1">
      <alignment horizontal="left" vertical="center"/>
    </xf>
    <xf numFmtId="0" fontId="33" fillId="0" borderId="14" xfId="2" applyFont="1" applyBorder="1" applyAlignment="1">
      <alignment horizontal="left" vertical="center"/>
    </xf>
    <xf numFmtId="0" fontId="33" fillId="0" borderId="23" xfId="2" applyFont="1" applyBorder="1" applyAlignment="1">
      <alignment horizontal="left" vertical="center"/>
    </xf>
    <xf numFmtId="0" fontId="33" fillId="8" borderId="1" xfId="2" applyFont="1" applyFill="1" applyBorder="1" applyAlignment="1">
      <alignment horizontal="left" vertical="center"/>
    </xf>
    <xf numFmtId="0" fontId="33" fillId="8" borderId="18" xfId="2" applyFont="1" applyFill="1" applyBorder="1" applyAlignment="1">
      <alignment horizontal="left" vertical="center"/>
    </xf>
    <xf numFmtId="0" fontId="32" fillId="6" borderId="1" xfId="2" applyFont="1" applyFill="1" applyBorder="1" applyAlignment="1">
      <alignment horizontal="center"/>
    </xf>
    <xf numFmtId="0" fontId="33" fillId="8" borderId="1" xfId="2" applyFont="1" applyFill="1" applyBorder="1" applyAlignment="1">
      <alignment horizontal="left"/>
    </xf>
    <xf numFmtId="0" fontId="33" fillId="7" borderId="1" xfId="2" applyFont="1" applyFill="1" applyBorder="1" applyAlignment="1">
      <alignment horizontal="left"/>
    </xf>
    <xf numFmtId="0" fontId="34" fillId="0" borderId="24" xfId="2" applyFont="1" applyBorder="1" applyAlignment="1">
      <alignment horizontal="center"/>
    </xf>
    <xf numFmtId="0" fontId="33" fillId="0" borderId="0" xfId="2" applyFont="1" applyAlignment="1">
      <alignment horizontal="center"/>
    </xf>
    <xf numFmtId="0" fontId="33" fillId="8" borderId="14" xfId="2" applyFont="1" applyFill="1" applyBorder="1" applyAlignment="1">
      <alignment horizontal="left" vertical="center"/>
    </xf>
    <xf numFmtId="0" fontId="33" fillId="8" borderId="23" xfId="2" applyFont="1" applyFill="1" applyBorder="1" applyAlignment="1">
      <alignment horizontal="left" vertical="center"/>
    </xf>
    <xf numFmtId="0" fontId="0" fillId="0" borderId="0" xfId="0" applyAlignment="1">
      <alignment horizontal="right"/>
    </xf>
  </cellXfs>
  <cellStyles count="5">
    <cellStyle name="Monétaire 2" xfId="3" xr:uid="{98A5DC1D-887F-4C29-9074-09A7CB91587E}"/>
    <cellStyle name="Monétaire 3" xfId="4" xr:uid="{5C3FE3D5-782B-4352-9FF5-3F9A75385887}"/>
    <cellStyle name="Normal" xfId="0" builtinId="0"/>
    <cellStyle name="Normal 2" xfId="2" xr:uid="{BF9E9E71-D123-4204-81D4-BCE8CE4212E2}"/>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50" b="1" i="0" u="none" strike="noStrike" baseline="0">
                <a:solidFill>
                  <a:srgbClr val="000000"/>
                </a:solidFill>
                <a:latin typeface="Times New Roman"/>
                <a:ea typeface="Times New Roman"/>
                <a:cs typeface="Times New Roman"/>
              </a:defRPr>
            </a:pPr>
            <a:r>
              <a:rPr lang="fr-FR"/>
              <a:t>Équation quadratique</a:t>
            </a:r>
          </a:p>
        </c:rich>
      </c:tx>
      <c:layout>
        <c:manualLayout>
          <c:xMode val="edge"/>
          <c:yMode val="edge"/>
          <c:x val="0.27079664599447195"/>
          <c:y val="5.0185873605947957E-2"/>
        </c:manualLayout>
      </c:layout>
      <c:overlay val="0"/>
      <c:spPr>
        <a:noFill/>
        <a:ln w="25400">
          <a:noFill/>
        </a:ln>
      </c:spPr>
    </c:title>
    <c:autoTitleDeleted val="0"/>
    <c:plotArea>
      <c:layout>
        <c:manualLayout>
          <c:layoutTarget val="inner"/>
          <c:xMode val="edge"/>
          <c:yMode val="edge"/>
          <c:x val="0.12920365148269108"/>
          <c:y val="0.17472134816572174"/>
          <c:w val="0.72566434394388146"/>
          <c:h val="0.66171063773401007"/>
        </c:manualLayout>
      </c:layout>
      <c:scatterChart>
        <c:scatterStyle val="smoothMarker"/>
        <c:varyColors val="0"/>
        <c:ser>
          <c:idx val="0"/>
          <c:order val="0"/>
          <c:tx>
            <c:strRef>
              <c:f>'Estimation Espacement'!$C$40</c:f>
              <c:strCache>
                <c:ptCount val="1"/>
                <c:pt idx="0">
                  <c:v>y</c:v>
                </c:pt>
              </c:strCache>
            </c:strRef>
          </c:tx>
          <c:spPr>
            <a:ln w="12700">
              <a:solidFill>
                <a:srgbClr val="000080"/>
              </a:solidFill>
              <a:prstDash val="solid"/>
            </a:ln>
          </c:spPr>
          <c:marker>
            <c:symbol val="none"/>
          </c:marker>
          <c:xVal>
            <c:numRef>
              <c:f>'Estimation Espacement'!$B$41:$B$181</c:f>
              <c:numCache>
                <c:formatCode>General</c:formatCode>
                <c:ptCount val="1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xVal>
          <c:yVal>
            <c:numRef>
              <c:f>'Estimation Espacement'!$C$41:$C$181</c:f>
              <c:numCache>
                <c:formatCode>General</c:formatCode>
                <c:ptCount val="1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yVal>
          <c:smooth val="1"/>
          <c:extLst>
            <c:ext xmlns:c16="http://schemas.microsoft.com/office/drawing/2014/chart" uri="{C3380CC4-5D6E-409C-BE32-E72D297353CC}">
              <c16:uniqueId val="{00000000-FCA3-4DB6-91A2-20098A664FFE}"/>
            </c:ext>
          </c:extLst>
        </c:ser>
        <c:dLbls>
          <c:showLegendKey val="0"/>
          <c:showVal val="0"/>
          <c:showCatName val="0"/>
          <c:showSerName val="0"/>
          <c:showPercent val="0"/>
          <c:showBubbleSize val="0"/>
        </c:dLbls>
        <c:axId val="247493464"/>
        <c:axId val="247493072"/>
      </c:scatterChart>
      <c:valAx>
        <c:axId val="247493464"/>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fr-FR"/>
                  <a:t>x</a:t>
                </a:r>
              </a:p>
            </c:rich>
          </c:tx>
          <c:layout>
            <c:manualLayout>
              <c:xMode val="edge"/>
              <c:yMode val="edge"/>
              <c:x val="0.46371718579425364"/>
              <c:y val="0.918216393954473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7493072"/>
        <c:crosses val="autoZero"/>
        <c:crossBetween val="midCat"/>
      </c:valAx>
      <c:valAx>
        <c:axId val="2474930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fr-FR"/>
                  <a:t>y</a:t>
                </a:r>
              </a:p>
            </c:rich>
          </c:tx>
          <c:layout>
            <c:manualLayout>
              <c:xMode val="edge"/>
              <c:yMode val="edge"/>
              <c:x val="2.8318584070796453E-2"/>
              <c:y val="0.518587750880582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7493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0.98425196899999967" l="0.78740157499999996" r="0.78740157499999996" t="0.98425196899999967" header="0.49212598450000017" footer="0.49212598450000017"/>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emf"/><Relationship Id="rId1" Type="http://schemas.openxmlformats.org/officeDocument/2006/relationships/image" Target="../media/image6.emf"/><Relationship Id="rId5" Type="http://schemas.openxmlformats.org/officeDocument/2006/relationships/image" Target="../media/image8.pn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1670685</xdr:colOff>
      <xdr:row>7</xdr:row>
      <xdr:rowOff>270782</xdr:rowOff>
    </xdr:from>
    <xdr:to>
      <xdr:col>1</xdr:col>
      <xdr:colOff>3393478</xdr:colOff>
      <xdr:row>7</xdr:row>
      <xdr:rowOff>758139</xdr:rowOff>
    </xdr:to>
    <xdr:sp macro="" textlink="">
      <xdr:nvSpPr>
        <xdr:cNvPr id="7" name="Flèche droite 6">
          <a:extLst>
            <a:ext uri="{FF2B5EF4-FFF2-40B4-BE49-F238E27FC236}">
              <a16:creationId xmlns:a16="http://schemas.microsoft.com/office/drawing/2014/main" id="{00000000-0008-0000-0000-000007000000}"/>
            </a:ext>
          </a:extLst>
        </xdr:cNvPr>
        <xdr:cNvSpPr/>
      </xdr:nvSpPr>
      <xdr:spPr>
        <a:xfrm>
          <a:off x="2442482" y="4557032"/>
          <a:ext cx="1726746" cy="4776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xdr:from>
      <xdr:col>3</xdr:col>
      <xdr:colOff>151313</xdr:colOff>
      <xdr:row>7</xdr:row>
      <xdr:rowOff>263434</xdr:rowOff>
    </xdr:from>
    <xdr:to>
      <xdr:col>3</xdr:col>
      <xdr:colOff>883774</xdr:colOff>
      <xdr:row>7</xdr:row>
      <xdr:rowOff>760094</xdr:rowOff>
    </xdr:to>
    <xdr:sp macro="" textlink="">
      <xdr:nvSpPr>
        <xdr:cNvPr id="8" name="Flèche droite 7">
          <a:extLst>
            <a:ext uri="{FF2B5EF4-FFF2-40B4-BE49-F238E27FC236}">
              <a16:creationId xmlns:a16="http://schemas.microsoft.com/office/drawing/2014/main" id="{00000000-0008-0000-0000-000008000000}"/>
            </a:ext>
          </a:extLst>
        </xdr:cNvPr>
        <xdr:cNvSpPr/>
      </xdr:nvSpPr>
      <xdr:spPr>
        <a:xfrm>
          <a:off x="6183087" y="4542064"/>
          <a:ext cx="721178" cy="4966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editAs="oneCell">
    <xdr:from>
      <xdr:col>5</xdr:col>
      <xdr:colOff>3143250</xdr:colOff>
      <xdr:row>0</xdr:row>
      <xdr:rowOff>733425</xdr:rowOff>
    </xdr:from>
    <xdr:to>
      <xdr:col>5</xdr:col>
      <xdr:colOff>6591300</xdr:colOff>
      <xdr:row>1</xdr:row>
      <xdr:rowOff>0</xdr:rowOff>
    </xdr:to>
    <xdr:pic>
      <xdr:nvPicPr>
        <xdr:cNvPr id="1728" name="Picture 93">
          <a:extLst>
            <a:ext uri="{FF2B5EF4-FFF2-40B4-BE49-F238E27FC236}">
              <a16:creationId xmlns:a16="http://schemas.microsoft.com/office/drawing/2014/main" id="{00000000-0008-0000-0000-0000C006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30125" y="733425"/>
          <a:ext cx="3448050" cy="676275"/>
        </a:xfrm>
        <a:prstGeom prst="rect">
          <a:avLst/>
        </a:prstGeom>
        <a:noFill/>
        <a:ln w="9525">
          <a:noFill/>
          <a:miter lim="800000"/>
          <a:headEnd/>
          <a:tailEnd/>
        </a:ln>
      </xdr:spPr>
    </xdr:pic>
    <xdr:clientData/>
  </xdr:twoCellAnchor>
  <xdr:twoCellAnchor editAs="oneCell">
    <xdr:from>
      <xdr:col>1</xdr:col>
      <xdr:colOff>31750</xdr:colOff>
      <xdr:row>0</xdr:row>
      <xdr:rowOff>0</xdr:rowOff>
    </xdr:from>
    <xdr:to>
      <xdr:col>2</xdr:col>
      <xdr:colOff>1123315</xdr:colOff>
      <xdr:row>1</xdr:row>
      <xdr:rowOff>34990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625" y="0"/>
          <a:ext cx="4635500" cy="1432625"/>
        </a:xfrm>
        <a:prstGeom prst="rect">
          <a:avLst/>
        </a:prstGeom>
      </xdr:spPr>
    </xdr:pic>
    <xdr:clientData/>
  </xdr:twoCellAnchor>
  <xdr:twoCellAnchor editAs="oneCell">
    <xdr:from>
      <xdr:col>5</xdr:col>
      <xdr:colOff>5492750</xdr:colOff>
      <xdr:row>0</xdr:row>
      <xdr:rowOff>0</xdr:rowOff>
    </xdr:from>
    <xdr:to>
      <xdr:col>5</xdr:col>
      <xdr:colOff>6626224</xdr:colOff>
      <xdr:row>0</xdr:row>
      <xdr:rowOff>704494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79625" y="0"/>
          <a:ext cx="1133474" cy="706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400050</xdr:colOff>
      <xdr:row>6</xdr:row>
      <xdr:rowOff>33265</xdr:rowOff>
    </xdr:from>
    <xdr:to>
      <xdr:col>20</xdr:col>
      <xdr:colOff>306019</xdr:colOff>
      <xdr:row>31</xdr:row>
      <xdr:rowOff>15875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20050" y="1004815"/>
          <a:ext cx="7525969" cy="40307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1670685</xdr:colOff>
      <xdr:row>7</xdr:row>
      <xdr:rowOff>270782</xdr:rowOff>
    </xdr:from>
    <xdr:to>
      <xdr:col>1</xdr:col>
      <xdr:colOff>3393478</xdr:colOff>
      <xdr:row>7</xdr:row>
      <xdr:rowOff>758139</xdr:rowOff>
    </xdr:to>
    <xdr:sp macro="" textlink="">
      <xdr:nvSpPr>
        <xdr:cNvPr id="2" name="Flèche droite 6">
          <a:extLst>
            <a:ext uri="{FF2B5EF4-FFF2-40B4-BE49-F238E27FC236}">
              <a16:creationId xmlns:a16="http://schemas.microsoft.com/office/drawing/2014/main" id="{00000000-0008-0000-0200-000002000000}"/>
            </a:ext>
          </a:extLst>
        </xdr:cNvPr>
        <xdr:cNvSpPr/>
      </xdr:nvSpPr>
      <xdr:spPr>
        <a:xfrm>
          <a:off x="2442210" y="4052207"/>
          <a:ext cx="1722793" cy="487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xdr:from>
      <xdr:col>3</xdr:col>
      <xdr:colOff>151313</xdr:colOff>
      <xdr:row>7</xdr:row>
      <xdr:rowOff>263434</xdr:rowOff>
    </xdr:from>
    <xdr:to>
      <xdr:col>3</xdr:col>
      <xdr:colOff>883774</xdr:colOff>
      <xdr:row>7</xdr:row>
      <xdr:rowOff>760094</xdr:rowOff>
    </xdr:to>
    <xdr:sp macro="" textlink="">
      <xdr:nvSpPr>
        <xdr:cNvPr id="3" name="Flèche droite 7">
          <a:extLst>
            <a:ext uri="{FF2B5EF4-FFF2-40B4-BE49-F238E27FC236}">
              <a16:creationId xmlns:a16="http://schemas.microsoft.com/office/drawing/2014/main" id="{00000000-0008-0000-0200-000003000000}"/>
            </a:ext>
          </a:extLst>
        </xdr:cNvPr>
        <xdr:cNvSpPr/>
      </xdr:nvSpPr>
      <xdr:spPr>
        <a:xfrm>
          <a:off x="6180638" y="4044859"/>
          <a:ext cx="732461" cy="4966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editAs="oneCell">
    <xdr:from>
      <xdr:col>5</xdr:col>
      <xdr:colOff>3448197</xdr:colOff>
      <xdr:row>0</xdr:row>
      <xdr:rowOff>746125</xdr:rowOff>
    </xdr:from>
    <xdr:to>
      <xdr:col>5</xdr:col>
      <xdr:colOff>6670674</xdr:colOff>
      <xdr:row>0</xdr:row>
      <xdr:rowOff>1383030</xdr:rowOff>
    </xdr:to>
    <xdr:pic>
      <xdr:nvPicPr>
        <xdr:cNvPr id="6" name="Picture 93">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35072" y="746125"/>
          <a:ext cx="3222477" cy="635000"/>
        </a:xfrm>
        <a:prstGeom prst="rect">
          <a:avLst/>
        </a:prstGeom>
        <a:noFill/>
        <a:ln w="9525">
          <a:noFill/>
          <a:miter lim="800000"/>
          <a:headEnd/>
          <a:tailEnd/>
        </a:ln>
      </xdr:spPr>
    </xdr:pic>
    <xdr:clientData/>
  </xdr:twoCellAnchor>
  <xdr:twoCellAnchor editAs="oneCell">
    <xdr:from>
      <xdr:col>11</xdr:col>
      <xdr:colOff>0</xdr:colOff>
      <xdr:row>9</xdr:row>
      <xdr:rowOff>0</xdr:rowOff>
    </xdr:from>
    <xdr:to>
      <xdr:col>11</xdr:col>
      <xdr:colOff>304800</xdr:colOff>
      <xdr:row>9</xdr:row>
      <xdr:rowOff>304800</xdr:rowOff>
    </xdr:to>
    <xdr:sp macro="" textlink="">
      <xdr:nvSpPr>
        <xdr:cNvPr id="5121" name="AutoShape 1">
          <a:extLst>
            <a:ext uri="{FF2B5EF4-FFF2-40B4-BE49-F238E27FC236}">
              <a16:creationId xmlns:a16="http://schemas.microsoft.com/office/drawing/2014/main" id="{00000000-0008-0000-0200-000001140000}"/>
            </a:ext>
          </a:extLst>
        </xdr:cNvPr>
        <xdr:cNvSpPr>
          <a:spLocks noChangeAspect="1" noChangeArrowheads="1"/>
        </xdr:cNvSpPr>
      </xdr:nvSpPr>
      <xdr:spPr bwMode="auto">
        <a:xfrm>
          <a:off x="19821525" y="52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9</xdr:row>
      <xdr:rowOff>304800</xdr:rowOff>
    </xdr:to>
    <xdr:sp macro="" textlink="">
      <xdr:nvSpPr>
        <xdr:cNvPr id="5122" name="AutoShape 2">
          <a:extLst>
            <a:ext uri="{FF2B5EF4-FFF2-40B4-BE49-F238E27FC236}">
              <a16:creationId xmlns:a16="http://schemas.microsoft.com/office/drawing/2014/main" id="{00000000-0008-0000-0200-000002140000}"/>
            </a:ext>
          </a:extLst>
        </xdr:cNvPr>
        <xdr:cNvSpPr>
          <a:spLocks noChangeAspect="1" noChangeArrowheads="1"/>
        </xdr:cNvSpPr>
      </xdr:nvSpPr>
      <xdr:spPr bwMode="auto">
        <a:xfrm>
          <a:off x="20593050" y="52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10</xdr:row>
      <xdr:rowOff>304800</xdr:rowOff>
    </xdr:to>
    <xdr:sp macro="" textlink="">
      <xdr:nvSpPr>
        <xdr:cNvPr id="5123" name="AutoShape 3">
          <a:extLst>
            <a:ext uri="{FF2B5EF4-FFF2-40B4-BE49-F238E27FC236}">
              <a16:creationId xmlns:a16="http://schemas.microsoft.com/office/drawing/2014/main" id="{00000000-0008-0000-0200-000003140000}"/>
            </a:ext>
          </a:extLst>
        </xdr:cNvPr>
        <xdr:cNvSpPr>
          <a:spLocks noChangeAspect="1" noChangeArrowheads="1"/>
        </xdr:cNvSpPr>
      </xdr:nvSpPr>
      <xdr:spPr bwMode="auto">
        <a:xfrm>
          <a:off x="1905000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15876</xdr:colOff>
      <xdr:row>0</xdr:row>
      <xdr:rowOff>0</xdr:rowOff>
    </xdr:from>
    <xdr:to>
      <xdr:col>2</xdr:col>
      <xdr:colOff>1113156</xdr:colOff>
      <xdr:row>1</xdr:row>
      <xdr:rowOff>15940</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3751" y="0"/>
          <a:ext cx="4635500" cy="1432625"/>
        </a:xfrm>
        <a:prstGeom prst="rect">
          <a:avLst/>
        </a:prstGeom>
      </xdr:spPr>
    </xdr:pic>
    <xdr:clientData/>
  </xdr:twoCellAnchor>
  <xdr:twoCellAnchor editAs="oneCell">
    <xdr:from>
      <xdr:col>5</xdr:col>
      <xdr:colOff>5492750</xdr:colOff>
      <xdr:row>0</xdr:row>
      <xdr:rowOff>47625</xdr:rowOff>
    </xdr:from>
    <xdr:to>
      <xdr:col>5</xdr:col>
      <xdr:colOff>6626224</xdr:colOff>
      <xdr:row>0</xdr:row>
      <xdr:rowOff>752119</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79625" y="47625"/>
          <a:ext cx="1133474" cy="706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66826</xdr:colOff>
      <xdr:row>75</xdr:row>
      <xdr:rowOff>130968</xdr:rowOff>
    </xdr:from>
    <xdr:to>
      <xdr:col>12</xdr:col>
      <xdr:colOff>875460</xdr:colOff>
      <xdr:row>104</xdr:row>
      <xdr:rowOff>115207</xdr:rowOff>
    </xdr:to>
    <xdr:pic>
      <xdr:nvPicPr>
        <xdr:cNvPr id="2" name="Picture 310">
          <a:extLst>
            <a:ext uri="{FF2B5EF4-FFF2-40B4-BE49-F238E27FC236}">
              <a16:creationId xmlns:a16="http://schemas.microsoft.com/office/drawing/2014/main" id="{C990F3A6-AA7B-4E20-B7EE-A78ADF255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69871" y="16632078"/>
          <a:ext cx="8782964" cy="5000104"/>
        </a:xfrm>
        <a:prstGeom prst="rect">
          <a:avLst/>
        </a:prstGeom>
        <a:solidFill>
          <a:srgbClr val="FFFFFF"/>
        </a:solidFill>
        <a:ln w="9525">
          <a:noFill/>
          <a:miter lim="800000"/>
          <a:headEnd/>
          <a:tailEnd/>
        </a:ln>
      </xdr:spPr>
    </xdr:pic>
    <xdr:clientData/>
  </xdr:twoCellAnchor>
  <xdr:twoCellAnchor editAs="oneCell">
    <xdr:from>
      <xdr:col>11</xdr:col>
      <xdr:colOff>142875</xdr:colOff>
      <xdr:row>4</xdr:row>
      <xdr:rowOff>123825</xdr:rowOff>
    </xdr:from>
    <xdr:to>
      <xdr:col>14</xdr:col>
      <xdr:colOff>971550</xdr:colOff>
      <xdr:row>9</xdr:row>
      <xdr:rowOff>17145</xdr:rowOff>
    </xdr:to>
    <xdr:pic>
      <xdr:nvPicPr>
        <xdr:cNvPr id="3" name="Picture 93">
          <a:extLst>
            <a:ext uri="{FF2B5EF4-FFF2-40B4-BE49-F238E27FC236}">
              <a16:creationId xmlns:a16="http://schemas.microsoft.com/office/drawing/2014/main" id="{07A4FDD3-1C5E-4963-B7BC-F7D5097EE80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8827770" y="811530"/>
          <a:ext cx="3541395" cy="731520"/>
        </a:xfrm>
        <a:prstGeom prst="rect">
          <a:avLst/>
        </a:prstGeom>
        <a:noFill/>
        <a:ln w="9525">
          <a:noFill/>
          <a:miter lim="800000"/>
          <a:headEnd/>
          <a:tailEnd/>
        </a:ln>
      </xdr:spPr>
    </xdr:pic>
    <xdr:clientData/>
  </xdr:twoCellAnchor>
  <xdr:twoCellAnchor editAs="oneCell">
    <xdr:from>
      <xdr:col>1</xdr:col>
      <xdr:colOff>19049</xdr:colOff>
      <xdr:row>0</xdr:row>
      <xdr:rowOff>0</xdr:rowOff>
    </xdr:from>
    <xdr:to>
      <xdr:col>7</xdr:col>
      <xdr:colOff>99059</xdr:colOff>
      <xdr:row>9</xdr:row>
      <xdr:rowOff>145466</xdr:rowOff>
    </xdr:to>
    <xdr:pic>
      <xdr:nvPicPr>
        <xdr:cNvPr id="4" name="Image 3">
          <a:extLst>
            <a:ext uri="{FF2B5EF4-FFF2-40B4-BE49-F238E27FC236}">
              <a16:creationId xmlns:a16="http://schemas.microsoft.com/office/drawing/2014/main" id="{58FD509D-1B5B-49AA-9136-7C1DDBE9A7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4359" y="0"/>
          <a:ext cx="5124450" cy="1654226"/>
        </a:xfrm>
        <a:prstGeom prst="rect">
          <a:avLst/>
        </a:prstGeom>
      </xdr:spPr>
    </xdr:pic>
    <xdr:clientData/>
  </xdr:twoCellAnchor>
  <xdr:twoCellAnchor editAs="oneCell">
    <xdr:from>
      <xdr:col>13</xdr:col>
      <xdr:colOff>777875</xdr:colOff>
      <xdr:row>0</xdr:row>
      <xdr:rowOff>0</xdr:rowOff>
    </xdr:from>
    <xdr:to>
      <xdr:col>14</xdr:col>
      <xdr:colOff>1007433</xdr:colOff>
      <xdr:row>4</xdr:row>
      <xdr:rowOff>75844</xdr:rowOff>
    </xdr:to>
    <xdr:pic>
      <xdr:nvPicPr>
        <xdr:cNvPr id="5" name="Image 4">
          <a:extLst>
            <a:ext uri="{FF2B5EF4-FFF2-40B4-BE49-F238E27FC236}">
              <a16:creationId xmlns:a16="http://schemas.microsoft.com/office/drawing/2014/main" id="{63F0B06E-E019-4E54-92D2-368EA1C9B8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21085" y="0"/>
          <a:ext cx="1189678" cy="746404"/>
        </a:xfrm>
        <a:prstGeom prst="rect">
          <a:avLst/>
        </a:prstGeom>
      </xdr:spPr>
    </xdr:pic>
    <xdr:clientData/>
  </xdr:twoCellAnchor>
  <xdr:twoCellAnchor>
    <xdr:from>
      <xdr:col>3</xdr:col>
      <xdr:colOff>709083</xdr:colOff>
      <xdr:row>75</xdr:row>
      <xdr:rowOff>52916</xdr:rowOff>
    </xdr:from>
    <xdr:to>
      <xdr:col>4</xdr:col>
      <xdr:colOff>560917</xdr:colOff>
      <xdr:row>77</xdr:row>
      <xdr:rowOff>127000</xdr:rowOff>
    </xdr:to>
    <xdr:cxnSp macro="">
      <xdr:nvCxnSpPr>
        <xdr:cNvPr id="6" name="Connecteur droit 5">
          <a:extLst>
            <a:ext uri="{FF2B5EF4-FFF2-40B4-BE49-F238E27FC236}">
              <a16:creationId xmlns:a16="http://schemas.microsoft.com/office/drawing/2014/main" id="{7299D646-077A-4F33-86B8-8EB51C9BCBF0}"/>
            </a:ext>
          </a:extLst>
        </xdr:cNvPr>
        <xdr:cNvCxnSpPr/>
      </xdr:nvCxnSpPr>
      <xdr:spPr>
        <a:xfrm flipH="1" flipV="1">
          <a:off x="3143673" y="16554026"/>
          <a:ext cx="644314" cy="4074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306916</xdr:colOff>
      <xdr:row>75</xdr:row>
      <xdr:rowOff>74083</xdr:rowOff>
    </xdr:from>
    <xdr:to>
      <xdr:col>6</xdr:col>
      <xdr:colOff>613833</xdr:colOff>
      <xdr:row>77</xdr:row>
      <xdr:rowOff>137583</xdr:rowOff>
    </xdr:to>
    <xdr:cxnSp macro="">
      <xdr:nvCxnSpPr>
        <xdr:cNvPr id="7" name="Connecteur droit 6">
          <a:extLst>
            <a:ext uri="{FF2B5EF4-FFF2-40B4-BE49-F238E27FC236}">
              <a16:creationId xmlns:a16="http://schemas.microsoft.com/office/drawing/2014/main" id="{46977C05-040F-4947-BA62-C89477978898}"/>
            </a:ext>
          </a:extLst>
        </xdr:cNvPr>
        <xdr:cNvCxnSpPr/>
      </xdr:nvCxnSpPr>
      <xdr:spPr>
        <a:xfrm flipV="1">
          <a:off x="5117041" y="16571383"/>
          <a:ext cx="308822" cy="3930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412750</xdr:colOff>
      <xdr:row>75</xdr:row>
      <xdr:rowOff>146050</xdr:rowOff>
    </xdr:from>
    <xdr:to>
      <xdr:col>10</xdr:col>
      <xdr:colOff>425450</xdr:colOff>
      <xdr:row>77</xdr:row>
      <xdr:rowOff>139700</xdr:rowOff>
    </xdr:to>
    <xdr:sp macro="" textlink="">
      <xdr:nvSpPr>
        <xdr:cNvPr id="8" name="Rectangle 7">
          <a:extLst>
            <a:ext uri="{FF2B5EF4-FFF2-40B4-BE49-F238E27FC236}">
              <a16:creationId xmlns:a16="http://schemas.microsoft.com/office/drawing/2014/main" id="{662074EF-2E03-4C4E-9248-F13A59D7431F}"/>
            </a:ext>
          </a:extLst>
        </xdr:cNvPr>
        <xdr:cNvSpPr/>
      </xdr:nvSpPr>
      <xdr:spPr>
        <a:xfrm>
          <a:off x="7659370" y="16641445"/>
          <a:ext cx="664210" cy="32512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xdr:col>
      <xdr:colOff>323850</xdr:colOff>
      <xdr:row>75</xdr:row>
      <xdr:rowOff>139700</xdr:rowOff>
    </xdr:from>
    <xdr:to>
      <xdr:col>12</xdr:col>
      <xdr:colOff>190500</xdr:colOff>
      <xdr:row>77</xdr:row>
      <xdr:rowOff>133350</xdr:rowOff>
    </xdr:to>
    <xdr:sp macro="" textlink="">
      <xdr:nvSpPr>
        <xdr:cNvPr id="9" name="Rectangle 8">
          <a:extLst>
            <a:ext uri="{FF2B5EF4-FFF2-40B4-BE49-F238E27FC236}">
              <a16:creationId xmlns:a16="http://schemas.microsoft.com/office/drawing/2014/main" id="{D62C3727-6C42-4A4E-8713-2A276F962263}"/>
            </a:ext>
          </a:extLst>
        </xdr:cNvPr>
        <xdr:cNvSpPr/>
      </xdr:nvSpPr>
      <xdr:spPr>
        <a:xfrm>
          <a:off x="9006840" y="16633190"/>
          <a:ext cx="661035" cy="3270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xdr:col>
      <xdr:colOff>101600</xdr:colOff>
      <xdr:row>75</xdr:row>
      <xdr:rowOff>19050</xdr:rowOff>
    </xdr:from>
    <xdr:to>
      <xdr:col>10</xdr:col>
      <xdr:colOff>241300</xdr:colOff>
      <xdr:row>77</xdr:row>
      <xdr:rowOff>139700</xdr:rowOff>
    </xdr:to>
    <xdr:cxnSp macro="">
      <xdr:nvCxnSpPr>
        <xdr:cNvPr id="10" name="Connecteur droit 9">
          <a:extLst>
            <a:ext uri="{FF2B5EF4-FFF2-40B4-BE49-F238E27FC236}">
              <a16:creationId xmlns:a16="http://schemas.microsoft.com/office/drawing/2014/main" id="{F5C445CD-7609-494E-B3B2-74FC82CE8BC7}"/>
            </a:ext>
          </a:extLst>
        </xdr:cNvPr>
        <xdr:cNvCxnSpPr/>
      </xdr:nvCxnSpPr>
      <xdr:spPr>
        <a:xfrm flipH="1" flipV="1">
          <a:off x="7994015" y="16512540"/>
          <a:ext cx="147320" cy="454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644525</xdr:colOff>
      <xdr:row>77</xdr:row>
      <xdr:rowOff>95250</xdr:rowOff>
    </xdr:from>
    <xdr:to>
      <xdr:col>13</xdr:col>
      <xdr:colOff>12703</xdr:colOff>
      <xdr:row>77</xdr:row>
      <xdr:rowOff>133350</xdr:rowOff>
    </xdr:to>
    <xdr:cxnSp macro="">
      <xdr:nvCxnSpPr>
        <xdr:cNvPr id="11" name="Connecteur : en angle 10">
          <a:extLst>
            <a:ext uri="{FF2B5EF4-FFF2-40B4-BE49-F238E27FC236}">
              <a16:creationId xmlns:a16="http://schemas.microsoft.com/office/drawing/2014/main" id="{12C30FEE-0DC5-405B-B495-DFD6E88D3C48}"/>
            </a:ext>
          </a:extLst>
        </xdr:cNvPr>
        <xdr:cNvCxnSpPr>
          <a:stCxn id="9" idx="2"/>
        </xdr:cNvCxnSpPr>
      </xdr:nvCxnSpPr>
      <xdr:spPr>
        <a:xfrm rot="5400000" flipH="1" flipV="1">
          <a:off x="9874569" y="16378871"/>
          <a:ext cx="38100" cy="1124588"/>
        </a:xfrm>
        <a:prstGeom prst="bentConnector4">
          <a:avLst>
            <a:gd name="adj1" fmla="val 816667"/>
            <a:gd name="adj2" fmla="val 64897"/>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19527</xdr:colOff>
      <xdr:row>36</xdr:row>
      <xdr:rowOff>36487</xdr:rowOff>
    </xdr:from>
    <xdr:to>
      <xdr:col>12</xdr:col>
      <xdr:colOff>903216</xdr:colOff>
      <xdr:row>62</xdr:row>
      <xdr:rowOff>60941</xdr:rowOff>
    </xdr:to>
    <xdr:pic>
      <xdr:nvPicPr>
        <xdr:cNvPr id="12" name="Image 11">
          <a:extLst>
            <a:ext uri="{FF2B5EF4-FFF2-40B4-BE49-F238E27FC236}">
              <a16:creationId xmlns:a16="http://schemas.microsoft.com/office/drawing/2014/main" id="{AD36E694-0BB2-4466-8699-4B6BB4C60172}"/>
            </a:ext>
          </a:extLst>
        </xdr:cNvPr>
        <xdr:cNvPicPr>
          <a:picLocks noChangeAspect="1"/>
        </xdr:cNvPicPr>
      </xdr:nvPicPr>
      <xdr:blipFill>
        <a:blip xmlns:r="http://schemas.openxmlformats.org/officeDocument/2006/relationships" r:embed="rId5"/>
        <a:stretch>
          <a:fillRect/>
        </a:stretch>
      </xdr:blipFill>
      <xdr:spPr>
        <a:xfrm>
          <a:off x="1521115" y="9023605"/>
          <a:ext cx="8895895" cy="4495601"/>
        </a:xfrm>
        <a:prstGeom prst="rect">
          <a:avLst/>
        </a:prstGeom>
      </xdr:spPr>
    </xdr:pic>
    <xdr:clientData/>
  </xdr:twoCellAnchor>
  <xdr:twoCellAnchor>
    <xdr:from>
      <xdr:col>2</xdr:col>
      <xdr:colOff>762000</xdr:colOff>
      <xdr:row>36</xdr:row>
      <xdr:rowOff>47880</xdr:rowOff>
    </xdr:from>
    <xdr:to>
      <xdr:col>2</xdr:col>
      <xdr:colOff>817721</xdr:colOff>
      <xdr:row>38</xdr:row>
      <xdr:rowOff>24068</xdr:rowOff>
    </xdr:to>
    <xdr:cxnSp macro="">
      <xdr:nvCxnSpPr>
        <xdr:cNvPr id="13" name="Connecteur droit 12">
          <a:extLst>
            <a:ext uri="{FF2B5EF4-FFF2-40B4-BE49-F238E27FC236}">
              <a16:creationId xmlns:a16="http://schemas.microsoft.com/office/drawing/2014/main" id="{C30E921B-07D7-42BE-AF1D-7B74A0134188}"/>
            </a:ext>
          </a:extLst>
        </xdr:cNvPr>
        <xdr:cNvCxnSpPr/>
      </xdr:nvCxnSpPr>
      <xdr:spPr>
        <a:xfrm flipV="1">
          <a:off x="2266950" y="9041385"/>
          <a:ext cx="59531" cy="313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69696</xdr:colOff>
      <xdr:row>36</xdr:row>
      <xdr:rowOff>4646</xdr:rowOff>
    </xdr:from>
    <xdr:to>
      <xdr:col>7</xdr:col>
      <xdr:colOff>85540</xdr:colOff>
      <xdr:row>38</xdr:row>
      <xdr:rowOff>11198</xdr:rowOff>
    </xdr:to>
    <xdr:cxnSp macro="">
      <xdr:nvCxnSpPr>
        <xdr:cNvPr id="14" name="Connecteur droit 13">
          <a:extLst>
            <a:ext uri="{FF2B5EF4-FFF2-40B4-BE49-F238E27FC236}">
              <a16:creationId xmlns:a16="http://schemas.microsoft.com/office/drawing/2014/main" id="{81FF1E59-4455-4BB5-A02F-349B7A21EED6}"/>
            </a:ext>
          </a:extLst>
        </xdr:cNvPr>
        <xdr:cNvCxnSpPr/>
      </xdr:nvCxnSpPr>
      <xdr:spPr>
        <a:xfrm flipH="1" flipV="1">
          <a:off x="5668491" y="8998151"/>
          <a:ext cx="19654" cy="3494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538976</xdr:colOff>
      <xdr:row>36</xdr:row>
      <xdr:rowOff>9293</xdr:rowOff>
    </xdr:from>
    <xdr:to>
      <xdr:col>11</xdr:col>
      <xdr:colOff>602120</xdr:colOff>
      <xdr:row>38</xdr:row>
      <xdr:rowOff>17749</xdr:rowOff>
    </xdr:to>
    <xdr:cxnSp macro="">
      <xdr:nvCxnSpPr>
        <xdr:cNvPr id="15" name="Connecteur droit 14">
          <a:extLst>
            <a:ext uri="{FF2B5EF4-FFF2-40B4-BE49-F238E27FC236}">
              <a16:creationId xmlns:a16="http://schemas.microsoft.com/office/drawing/2014/main" id="{17571C08-3753-43A3-A428-2A2A7D91A53A}"/>
            </a:ext>
          </a:extLst>
        </xdr:cNvPr>
        <xdr:cNvCxnSpPr/>
      </xdr:nvCxnSpPr>
      <xdr:spPr>
        <a:xfrm flipH="1" flipV="1">
          <a:off x="9227681" y="9002798"/>
          <a:ext cx="59334" cy="3532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321667</xdr:colOff>
      <xdr:row>45</xdr:row>
      <xdr:rowOff>157976</xdr:rowOff>
    </xdr:from>
    <xdr:to>
      <xdr:col>13</xdr:col>
      <xdr:colOff>0</xdr:colOff>
      <xdr:row>46</xdr:row>
      <xdr:rowOff>76247</xdr:rowOff>
    </xdr:to>
    <xdr:cxnSp macro="">
      <xdr:nvCxnSpPr>
        <xdr:cNvPr id="16" name="Connecteur droit 15">
          <a:extLst>
            <a:ext uri="{FF2B5EF4-FFF2-40B4-BE49-F238E27FC236}">
              <a16:creationId xmlns:a16="http://schemas.microsoft.com/office/drawing/2014/main" id="{1AF0D4E2-7994-4368-A869-471E83A719F8}"/>
            </a:ext>
          </a:extLst>
        </xdr:cNvPr>
        <xdr:cNvCxnSpPr/>
      </xdr:nvCxnSpPr>
      <xdr:spPr>
        <a:xfrm flipH="1">
          <a:off x="9802852" y="10713581"/>
          <a:ext cx="636548" cy="782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492746</xdr:colOff>
      <xdr:row>48</xdr:row>
      <xdr:rowOff>130935</xdr:rowOff>
    </xdr:from>
    <xdr:to>
      <xdr:col>13</xdr:col>
      <xdr:colOff>0</xdr:colOff>
      <xdr:row>51</xdr:row>
      <xdr:rowOff>0</xdr:rowOff>
    </xdr:to>
    <xdr:cxnSp macro="">
      <xdr:nvCxnSpPr>
        <xdr:cNvPr id="17" name="Connecteur droit 16">
          <a:extLst>
            <a:ext uri="{FF2B5EF4-FFF2-40B4-BE49-F238E27FC236}">
              <a16:creationId xmlns:a16="http://schemas.microsoft.com/office/drawing/2014/main" id="{492EF7CE-E687-490E-8B3D-0FDDB14C0CA7}"/>
            </a:ext>
          </a:extLst>
        </xdr:cNvPr>
        <xdr:cNvCxnSpPr/>
      </xdr:nvCxnSpPr>
      <xdr:spPr>
        <a:xfrm flipH="1" flipV="1">
          <a:off x="9970121" y="11193270"/>
          <a:ext cx="469279" cy="3700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159218</xdr:colOff>
      <xdr:row>60</xdr:row>
      <xdr:rowOff>92463</xdr:rowOff>
    </xdr:from>
    <xdr:to>
      <xdr:col>7</xdr:col>
      <xdr:colOff>159218</xdr:colOff>
      <xdr:row>62</xdr:row>
      <xdr:rowOff>0</xdr:rowOff>
    </xdr:to>
    <xdr:cxnSp macro="">
      <xdr:nvCxnSpPr>
        <xdr:cNvPr id="18" name="Connecteur droit 17">
          <a:extLst>
            <a:ext uri="{FF2B5EF4-FFF2-40B4-BE49-F238E27FC236}">
              <a16:creationId xmlns:a16="http://schemas.microsoft.com/office/drawing/2014/main" id="{BCD0C1D3-4FCA-40F5-BCC5-1543E3A5F628}"/>
            </a:ext>
          </a:extLst>
        </xdr:cNvPr>
        <xdr:cNvCxnSpPr/>
      </xdr:nvCxnSpPr>
      <xdr:spPr>
        <a:xfrm flipV="1">
          <a:off x="5761823" y="13307448"/>
          <a:ext cx="0" cy="2371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40</xdr:row>
      <xdr:rowOff>153261</xdr:rowOff>
    </xdr:from>
    <xdr:to>
      <xdr:col>2</xdr:col>
      <xdr:colOff>297095</xdr:colOff>
      <xdr:row>41</xdr:row>
      <xdr:rowOff>18718</xdr:rowOff>
    </xdr:to>
    <xdr:cxnSp macro="">
      <xdr:nvCxnSpPr>
        <xdr:cNvPr id="19" name="Connecteur droit 18">
          <a:extLst>
            <a:ext uri="{FF2B5EF4-FFF2-40B4-BE49-F238E27FC236}">
              <a16:creationId xmlns:a16="http://schemas.microsoft.com/office/drawing/2014/main" id="{7CBEEDBC-3CBE-4486-BB49-748535219047}"/>
            </a:ext>
          </a:extLst>
        </xdr:cNvPr>
        <xdr:cNvCxnSpPr/>
      </xdr:nvCxnSpPr>
      <xdr:spPr>
        <a:xfrm>
          <a:off x="1504950" y="9878286"/>
          <a:ext cx="295190" cy="311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45</xdr:row>
      <xdr:rowOff>11906</xdr:rowOff>
    </xdr:from>
    <xdr:to>
      <xdr:col>2</xdr:col>
      <xdr:colOff>316621</xdr:colOff>
      <xdr:row>45</xdr:row>
      <xdr:rowOff>21814</xdr:rowOff>
    </xdr:to>
    <xdr:cxnSp macro="">
      <xdr:nvCxnSpPr>
        <xdr:cNvPr id="20" name="Connecteur droit 19">
          <a:extLst>
            <a:ext uri="{FF2B5EF4-FFF2-40B4-BE49-F238E27FC236}">
              <a16:creationId xmlns:a16="http://schemas.microsoft.com/office/drawing/2014/main" id="{4E96A7FB-1BB9-48B0-B785-82BB814BB323}"/>
            </a:ext>
          </a:extLst>
        </xdr:cNvPr>
        <xdr:cNvCxnSpPr/>
      </xdr:nvCxnSpPr>
      <xdr:spPr>
        <a:xfrm>
          <a:off x="1504950" y="10569416"/>
          <a:ext cx="320431" cy="22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11906</xdr:colOff>
      <xdr:row>55</xdr:row>
      <xdr:rowOff>29766</xdr:rowOff>
    </xdr:from>
    <xdr:to>
      <xdr:col>2</xdr:col>
      <xdr:colOff>303609</xdr:colOff>
      <xdr:row>55</xdr:row>
      <xdr:rowOff>55721</xdr:rowOff>
    </xdr:to>
    <xdr:cxnSp macro="">
      <xdr:nvCxnSpPr>
        <xdr:cNvPr id="21" name="Connecteur droit 20">
          <a:extLst>
            <a:ext uri="{FF2B5EF4-FFF2-40B4-BE49-F238E27FC236}">
              <a16:creationId xmlns:a16="http://schemas.microsoft.com/office/drawing/2014/main" id="{AC8900FE-A458-4614-8C7B-FF54DC481E98}"/>
            </a:ext>
          </a:extLst>
        </xdr:cNvPr>
        <xdr:cNvCxnSpPr/>
      </xdr:nvCxnSpPr>
      <xdr:spPr>
        <a:xfrm>
          <a:off x="1520666" y="12277011"/>
          <a:ext cx="287893" cy="316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17859</xdr:colOff>
      <xdr:row>58</xdr:row>
      <xdr:rowOff>7858</xdr:rowOff>
    </xdr:from>
    <xdr:to>
      <xdr:col>2</xdr:col>
      <xdr:colOff>317420</xdr:colOff>
      <xdr:row>58</xdr:row>
      <xdr:rowOff>101203</xdr:rowOff>
    </xdr:to>
    <xdr:cxnSp macro="">
      <xdr:nvCxnSpPr>
        <xdr:cNvPr id="22" name="Connecteur droit 21">
          <a:extLst>
            <a:ext uri="{FF2B5EF4-FFF2-40B4-BE49-F238E27FC236}">
              <a16:creationId xmlns:a16="http://schemas.microsoft.com/office/drawing/2014/main" id="{64FD5C7C-8146-4C77-9D41-D070D1965298}"/>
            </a:ext>
          </a:extLst>
        </xdr:cNvPr>
        <xdr:cNvCxnSpPr/>
      </xdr:nvCxnSpPr>
      <xdr:spPr>
        <a:xfrm flipV="1">
          <a:off x="1526619" y="12830413"/>
          <a:ext cx="299561" cy="876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161925</xdr:colOff>
      <xdr:row>25</xdr:row>
      <xdr:rowOff>47625</xdr:rowOff>
    </xdr:from>
    <xdr:to>
      <xdr:col>11</xdr:col>
      <xdr:colOff>209550</xdr:colOff>
      <xdr:row>56</xdr:row>
      <xdr:rowOff>152400</xdr:rowOff>
    </xdr:to>
    <xdr:graphicFrame macro="">
      <xdr:nvGraphicFramePr>
        <xdr:cNvPr id="8233" name="Chart 1">
          <a:extLst>
            <a:ext uri="{FF2B5EF4-FFF2-40B4-BE49-F238E27FC236}">
              <a16:creationId xmlns:a16="http://schemas.microsoft.com/office/drawing/2014/main" id="{00000000-0008-0000-0600-000029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64"/>
  <sheetViews>
    <sheetView tabSelected="1" zoomScale="60" zoomScaleNormal="60" workbookViewId="0"/>
  </sheetViews>
  <sheetFormatPr defaultColWidth="11.5546875" defaultRowHeight="13.2" x14ac:dyDescent="0.25"/>
  <cols>
    <col min="1" max="1" width="11.5546875" style="1"/>
    <col min="2" max="2" width="53.109375" style="1" customWidth="1"/>
    <col min="3" max="3" width="25.6640625" style="29" customWidth="1"/>
    <col min="4" max="4" width="15.6640625" style="1" customWidth="1"/>
    <col min="5" max="5" width="33.109375" style="1" customWidth="1"/>
    <col min="6" max="6" width="100.109375" style="1" customWidth="1"/>
    <col min="7" max="7" width="11.5546875" style="1"/>
    <col min="8" max="8" width="11.5546875" style="1" customWidth="1"/>
    <col min="9" max="16384" width="11.5546875" style="1"/>
  </cols>
  <sheetData>
    <row r="1" spans="1:6" ht="111" customHeight="1" x14ac:dyDescent="0.25"/>
    <row r="2" spans="1:6" ht="34.5" customHeight="1" x14ac:dyDescent="0.5">
      <c r="B2" s="15" t="s">
        <v>0</v>
      </c>
    </row>
    <row r="3" spans="1:6" ht="34.5" customHeight="1" x14ac:dyDescent="0.4">
      <c r="B3" s="2" t="s">
        <v>1</v>
      </c>
      <c r="C3" s="65" t="s">
        <v>219</v>
      </c>
      <c r="D3" s="14"/>
    </row>
    <row r="4" spans="1:6" ht="34.5" customHeight="1" x14ac:dyDescent="0.4">
      <c r="B4" s="2"/>
      <c r="C4" s="66"/>
      <c r="D4" s="14"/>
    </row>
    <row r="5" spans="1:6" ht="34.5" customHeight="1" x14ac:dyDescent="0.25">
      <c r="B5" s="22" t="s">
        <v>3</v>
      </c>
      <c r="C5" s="69"/>
      <c r="D5" s="70"/>
      <c r="E5" s="71"/>
    </row>
    <row r="6" spans="1:6" ht="34.5" customHeight="1" x14ac:dyDescent="0.5">
      <c r="B6" s="22" t="s">
        <v>4</v>
      </c>
      <c r="C6" s="69"/>
      <c r="D6" s="70"/>
      <c r="E6" s="71"/>
      <c r="F6" s="39">
        <f ca="1">TODAY()</f>
        <v>46087</v>
      </c>
    </row>
    <row r="7" spans="1:6" ht="14.25" customHeight="1" x14ac:dyDescent="0.25"/>
    <row r="8" spans="1:6" ht="64.5" customHeight="1" x14ac:dyDescent="0.3">
      <c r="B8" s="4"/>
      <c r="C8" s="84" t="s">
        <v>5</v>
      </c>
      <c r="E8" s="84" t="s">
        <v>6</v>
      </c>
    </row>
    <row r="9" spans="1:6" ht="54" customHeight="1" x14ac:dyDescent="0.25">
      <c r="A9" s="12" t="s">
        <v>7</v>
      </c>
      <c r="B9" s="16" t="s">
        <v>8</v>
      </c>
      <c r="C9" s="85"/>
      <c r="D9" s="17" t="s">
        <v>9</v>
      </c>
      <c r="E9" s="85"/>
      <c r="F9" s="12" t="s">
        <v>10</v>
      </c>
    </row>
    <row r="10" spans="1:6" ht="54" customHeight="1" x14ac:dyDescent="0.25">
      <c r="A10" s="13">
        <v>1</v>
      </c>
      <c r="B10" s="23" t="s">
        <v>11</v>
      </c>
      <c r="C10" s="5"/>
      <c r="D10" s="6" t="s">
        <v>12</v>
      </c>
      <c r="E10" s="9" t="str">
        <f>IF(AND(C10&gt;0,C10&lt;125.00001),"OK",IF(C10="","Enter T-Time","Incorrect T-Time"))</f>
        <v>Enter T-Time</v>
      </c>
      <c r="F10" s="3" t="s">
        <v>13</v>
      </c>
    </row>
    <row r="11" spans="1:6" ht="55.5" customHeight="1" x14ac:dyDescent="0.25">
      <c r="A11" s="13">
        <v>2</v>
      </c>
      <c r="B11" s="23" t="s">
        <v>14</v>
      </c>
      <c r="C11" s="52"/>
      <c r="D11" s="6" t="s">
        <v>15</v>
      </c>
      <c r="E11" s="9" t="str">
        <f>IF(C11&gt;0,"OK",IF(C11="","Enter Design Flow","Incorrect Design Flow"))</f>
        <v>Enter Design Flow</v>
      </c>
      <c r="F11" s="3" t="s">
        <v>16</v>
      </c>
    </row>
    <row r="12" spans="1:6" ht="48.75" customHeight="1" x14ac:dyDescent="0.25">
      <c r="A12" s="13">
        <v>3</v>
      </c>
      <c r="B12" s="24" t="s">
        <v>17</v>
      </c>
      <c r="C12" s="6" t="str">
        <f>IF(C10="","",IF(OR(C10&lt;=6,C10&gt;50),0.6,0.45))</f>
        <v/>
      </c>
      <c r="D12" s="6" t="s">
        <v>18</v>
      </c>
      <c r="E12" s="10"/>
      <c r="F12" s="3" t="s">
        <v>19</v>
      </c>
    </row>
    <row r="13" spans="1:6" ht="50.25" customHeight="1" x14ac:dyDescent="0.25">
      <c r="A13" s="13">
        <v>4</v>
      </c>
      <c r="B13" s="23" t="s">
        <v>20</v>
      </c>
      <c r="C13" s="5"/>
      <c r="D13" s="6" t="s">
        <v>18</v>
      </c>
      <c r="E13" s="9" t="str">
        <f>IF(C13="","Enter Dept",IF(AND(C10&gt;50,C13&gt;0),"enter 0",IF(C13&lt;0,"Dept need to be over 0","OK")))</f>
        <v>Enter Dept</v>
      </c>
      <c r="F13" s="3" t="s">
        <v>21</v>
      </c>
    </row>
    <row r="14" spans="1:6" ht="64.5" customHeight="1" x14ac:dyDescent="0.25">
      <c r="A14" s="13">
        <v>5</v>
      </c>
      <c r="B14" s="23" t="s">
        <v>22</v>
      </c>
      <c r="C14" s="5"/>
      <c r="D14" s="6" t="s">
        <v>18</v>
      </c>
      <c r="E14" s="9" t="str">
        <f>IF(C14="","Enter Dept",IF(C14&gt;C13,"Soil dept is not large enough","OK"))</f>
        <v>Enter Dept</v>
      </c>
      <c r="F14" s="3" t="s">
        <v>23</v>
      </c>
    </row>
    <row r="15" spans="1:6" ht="39.75" customHeight="1" x14ac:dyDescent="0.25">
      <c r="A15" s="13">
        <v>6</v>
      </c>
      <c r="B15" s="23" t="s">
        <v>24</v>
      </c>
      <c r="C15" s="31"/>
      <c r="D15" s="8" t="s">
        <v>25</v>
      </c>
      <c r="E15" s="9" t="str">
        <f>IF(C15="","Enter Slope",IF(AND(C15&gt;=0,C15&lt;=25),"OK","Slope error"))</f>
        <v>Enter Slope</v>
      </c>
      <c r="F15" s="3" t="s">
        <v>26</v>
      </c>
    </row>
    <row r="16" spans="1:6" ht="49.5" customHeight="1" x14ac:dyDescent="0.25">
      <c r="A16" s="13">
        <v>7</v>
      </c>
      <c r="B16" s="24" t="s">
        <v>27</v>
      </c>
      <c r="C16" s="6" t="str">
        <f>IF(OR(C13="",C14=""),"",C13-C14)</f>
        <v/>
      </c>
      <c r="D16" s="6" t="s">
        <v>18</v>
      </c>
      <c r="E16" s="9" t="str">
        <f>IF(C16="","",IF(C16&lt;0,"Dept inconsistensies",IF(C16&lt;C12,"Imported sand layer required","OK")))</f>
        <v/>
      </c>
      <c r="F16" s="3" t="s">
        <v>28</v>
      </c>
    </row>
    <row r="17" spans="1:11" ht="50.25" customHeight="1" x14ac:dyDescent="0.25">
      <c r="A17" s="13">
        <v>8</v>
      </c>
      <c r="B17" s="23" t="s">
        <v>29</v>
      </c>
      <c r="C17" s="5"/>
      <c r="D17" s="6" t="s">
        <v>18</v>
      </c>
      <c r="E17" s="9" t="str">
        <f>IF(C17="","Enter Value",IF(C17&lt;0,"Thickness needs to be 0 or more","OK"))</f>
        <v>Enter Value</v>
      </c>
      <c r="F17" s="3" t="s">
        <v>30</v>
      </c>
    </row>
    <row r="18" spans="1:11" ht="52.5" customHeight="1" x14ac:dyDescent="0.25">
      <c r="A18" s="13">
        <v>9</v>
      </c>
      <c r="B18" s="24" t="s">
        <v>31</v>
      </c>
      <c r="C18" s="6" t="str">
        <f>IF(OR(C16="",C17=""),"",C16+C17)</f>
        <v/>
      </c>
      <c r="D18" s="6" t="s">
        <v>18</v>
      </c>
      <c r="E18" s="9" t="str">
        <f>IF(C18="","",IF(C18&lt;C12,"Separation distance error","OK"))</f>
        <v/>
      </c>
      <c r="F18" s="3" t="s">
        <v>32</v>
      </c>
    </row>
    <row r="19" spans="1:11" ht="35.25" customHeight="1" x14ac:dyDescent="0.25">
      <c r="A19" s="13">
        <v>10</v>
      </c>
      <c r="B19" s="24" t="s">
        <v>33</v>
      </c>
      <c r="C19" s="30">
        <f>ROUNDUP(C11/126,0)</f>
        <v>0</v>
      </c>
      <c r="D19" s="6" t="s">
        <v>34</v>
      </c>
      <c r="E19" s="10"/>
      <c r="F19" s="3" t="s">
        <v>35</v>
      </c>
    </row>
    <row r="20" spans="1:11" ht="36.75" customHeight="1" x14ac:dyDescent="0.25">
      <c r="A20" s="13">
        <v>11</v>
      </c>
      <c r="B20" s="24" t="s">
        <v>36</v>
      </c>
      <c r="C20" s="6">
        <f>IF(C19="","",C19*3.05)</f>
        <v>0</v>
      </c>
      <c r="D20" s="6" t="s">
        <v>18</v>
      </c>
      <c r="E20" s="10"/>
      <c r="F20" s="3" t="s">
        <v>37</v>
      </c>
    </row>
    <row r="21" spans="1:11" ht="35.25" customHeight="1" x14ac:dyDescent="0.25">
      <c r="A21" s="13">
        <v>12</v>
      </c>
      <c r="B21" s="24" t="s">
        <v>38</v>
      </c>
      <c r="C21" s="7">
        <f>VLOOKUP(TRUE,Feuil1!A2:B4,2,FALSE)</f>
        <v>0</v>
      </c>
      <c r="D21" s="6" t="s">
        <v>39</v>
      </c>
      <c r="E21" s="10"/>
      <c r="F21" s="3" t="str">
        <f>VLOOKUP(TRUE,Feuil1!A2:C4,3,FALSE)</f>
        <v>Minimum contact area = QT/850, because T ≤ 15 min/cm and Q ≤ 3000 L/d</v>
      </c>
    </row>
    <row r="22" spans="1:11" ht="35.25" customHeight="1" x14ac:dyDescent="0.25">
      <c r="A22" s="13">
        <v>13</v>
      </c>
      <c r="B22" s="23" t="s">
        <v>40</v>
      </c>
      <c r="C22" s="5"/>
      <c r="D22" s="6" t="s">
        <v>41</v>
      </c>
      <c r="E22" s="9" t="str">
        <f>IF(C22="","Enter Number of Rows",IF(C22&gt;0,"OK","Incorrect number of rows"))</f>
        <v>Enter Number of Rows</v>
      </c>
      <c r="F22" s="3" t="s">
        <v>42</v>
      </c>
    </row>
    <row r="23" spans="1:11" ht="37.5" customHeight="1" x14ac:dyDescent="0.25">
      <c r="A23" s="13">
        <v>14</v>
      </c>
      <c r="B23" s="23" t="s">
        <v>43</v>
      </c>
      <c r="C23" s="5"/>
      <c r="D23" s="6" t="s">
        <v>34</v>
      </c>
      <c r="E23" s="9" t="str">
        <f>IF(C23="","Enter Number of Pipe per Row",IF(OR(C23&gt;10,C23&lt;1),"Incorrect number of pipe per row","OK"))</f>
        <v>Enter Number of Pipe per Row</v>
      </c>
      <c r="F23" s="3" t="s">
        <v>218</v>
      </c>
    </row>
    <row r="24" spans="1:11" ht="48.75" customHeight="1" x14ac:dyDescent="0.25">
      <c r="A24" s="13">
        <v>15</v>
      </c>
      <c r="B24" s="24" t="s">
        <v>45</v>
      </c>
      <c r="C24" s="6" t="str">
        <f>IF(OR(C22="",C23=""),"",C22*C23)</f>
        <v/>
      </c>
      <c r="D24" s="6" t="s">
        <v>34</v>
      </c>
      <c r="E24" s="9" t="str">
        <f>IF(C24="","",IF(C24&lt;C19,"Insufficient number of pipes","OK"))</f>
        <v/>
      </c>
      <c r="F24" s="3" t="s">
        <v>46</v>
      </c>
    </row>
    <row r="25" spans="1:11" ht="35.25" customHeight="1" x14ac:dyDescent="0.25">
      <c r="A25" s="13">
        <v>16</v>
      </c>
      <c r="B25" s="24" t="s">
        <v>47</v>
      </c>
      <c r="C25" s="6" t="str">
        <f>IF(C24="","",C24*3.05)</f>
        <v/>
      </c>
      <c r="D25" s="6" t="s">
        <v>18</v>
      </c>
      <c r="E25" s="10"/>
      <c r="F25" s="3" t="s">
        <v>48</v>
      </c>
    </row>
    <row r="26" spans="1:11" ht="35.25" customHeight="1" x14ac:dyDescent="0.25">
      <c r="A26" s="13">
        <v>17</v>
      </c>
      <c r="B26" s="24" t="s">
        <v>49</v>
      </c>
      <c r="C26" s="7">
        <f>C23*3.05</f>
        <v>0</v>
      </c>
      <c r="D26" s="6" t="s">
        <v>18</v>
      </c>
      <c r="E26" s="10"/>
      <c r="F26" s="3" t="s">
        <v>50</v>
      </c>
    </row>
    <row r="27" spans="1:11" ht="48" customHeight="1" x14ac:dyDescent="0.25">
      <c r="A27" s="13">
        <v>18</v>
      </c>
      <c r="B27" s="23" t="s">
        <v>51</v>
      </c>
      <c r="C27" s="5"/>
      <c r="D27" s="6" t="s">
        <v>52</v>
      </c>
      <c r="E27" s="9" t="str">
        <f>IF(C27="","Enter Number of Sections",IF(C54-C55=0,"OK","Unballanced number of row per section - Change number of sections"))</f>
        <v>Enter Number of Sections</v>
      </c>
      <c r="F27" s="3" t="s">
        <v>53</v>
      </c>
    </row>
    <row r="28" spans="1:11" ht="35.25" customHeight="1" x14ac:dyDescent="0.3">
      <c r="A28" s="13">
        <v>19</v>
      </c>
      <c r="B28" s="32" t="s">
        <v>54</v>
      </c>
      <c r="C28" s="67" t="str">
        <f>IF(C27="","",'Estimation Espacement'!B21)</f>
        <v/>
      </c>
      <c r="D28" s="6" t="s">
        <v>18</v>
      </c>
      <c r="E28" s="10"/>
      <c r="F28" s="3" t="s">
        <v>55</v>
      </c>
      <c r="K28" s="26"/>
    </row>
    <row r="29" spans="1:11" ht="39.6" customHeight="1" x14ac:dyDescent="0.25">
      <c r="A29" s="13">
        <v>20</v>
      </c>
      <c r="B29" s="23" t="s">
        <v>56</v>
      </c>
      <c r="C29" s="5"/>
      <c r="D29" s="6" t="s">
        <v>18</v>
      </c>
      <c r="E29" s="11" t="str">
        <f>IF(C29="","Enter Value",IF(OR(C29&gt;0.45,C29=0.45),"OK","ECC error"))</f>
        <v>Enter Value</v>
      </c>
      <c r="F29" s="3" t="s">
        <v>57</v>
      </c>
    </row>
    <row r="30" spans="1:11" ht="54" customHeight="1" x14ac:dyDescent="0.25">
      <c r="A30" s="13">
        <v>21</v>
      </c>
      <c r="B30" s="32" t="str">
        <f>IF(C$15&gt;3,"Suggested E L1","Suggested E L")</f>
        <v>Suggested E L</v>
      </c>
      <c r="C30" s="67" t="str">
        <f>IF(C28="","",'Estimation Espacement'!C21)</f>
        <v/>
      </c>
      <c r="D30" s="6" t="s">
        <v>18</v>
      </c>
      <c r="E30" s="10"/>
      <c r="F30" s="3" t="s">
        <v>58</v>
      </c>
    </row>
    <row r="31" spans="1:11" ht="35.25" customHeight="1" x14ac:dyDescent="0.25">
      <c r="A31" s="13">
        <v>22</v>
      </c>
      <c r="B31" s="23" t="s">
        <v>59</v>
      </c>
      <c r="C31" s="5"/>
      <c r="D31" s="7" t="s">
        <v>18</v>
      </c>
      <c r="E31" s="11" t="str">
        <f>IF(C31="","Enter Value",IF(OR($C$31&gt;0.45,$C$31=0.45),"OK","EL error"))</f>
        <v>Enter Value</v>
      </c>
      <c r="F31" s="3" t="s">
        <v>60</v>
      </c>
    </row>
    <row r="32" spans="1:11" ht="50.25" customHeight="1" x14ac:dyDescent="0.25">
      <c r="A32" s="13">
        <v>23</v>
      </c>
      <c r="B32" s="32" t="str">
        <f>IF(C$15&gt;3,"Calculated E L2","N/A")</f>
        <v>N/A</v>
      </c>
      <c r="C32" s="6" t="str">
        <f>IF(C30="","",IF(C15&gt;3,'Estimation Espacement'!E21,"N/A"))</f>
        <v/>
      </c>
      <c r="D32" s="6"/>
      <c r="E32" s="10"/>
      <c r="F32" s="3" t="s">
        <v>61</v>
      </c>
    </row>
    <row r="33" spans="1:6" ht="53.25" customHeight="1" x14ac:dyDescent="0.25">
      <c r="A33" s="13">
        <v>24</v>
      </c>
      <c r="B33" s="32" t="s">
        <v>62</v>
      </c>
      <c r="C33" s="67" t="str">
        <f>IF(C28="","",'Estimation Espacement'!D21)</f>
        <v/>
      </c>
      <c r="D33" s="6" t="s">
        <v>18</v>
      </c>
      <c r="E33" s="10"/>
      <c r="F33" s="3" t="s">
        <v>63</v>
      </c>
    </row>
    <row r="34" spans="1:6" ht="39" customHeight="1" x14ac:dyDescent="0.25">
      <c r="A34" s="13">
        <v>25</v>
      </c>
      <c r="B34" s="23" t="s">
        <v>64</v>
      </c>
      <c r="C34" s="5"/>
      <c r="D34" s="7" t="s">
        <v>18</v>
      </c>
      <c r="E34" s="11" t="str">
        <f>IF(C34="","Enter Value",IF(OR(C34&gt;0.3,C34=0.3),"OK","EE error"))</f>
        <v>Enter Value</v>
      </c>
      <c r="F34" s="3" t="s">
        <v>65</v>
      </c>
    </row>
    <row r="35" spans="1:6" ht="35.25" customHeight="1" x14ac:dyDescent="0.25">
      <c r="A35" s="13">
        <v>26</v>
      </c>
      <c r="B35" s="24" t="s">
        <v>66</v>
      </c>
      <c r="C35" s="7" t="str">
        <f>IF(OR(C23="",C34=""),"",(C23*3.05)+(2*(C34)))</f>
        <v/>
      </c>
      <c r="D35" s="7" t="s">
        <v>18</v>
      </c>
      <c r="E35" s="10"/>
      <c r="F35" s="3" t="s">
        <v>67</v>
      </c>
    </row>
    <row r="36" spans="1:6" ht="37.5" customHeight="1" x14ac:dyDescent="0.25">
      <c r="A36" s="13">
        <v>27</v>
      </c>
      <c r="B36" s="24" t="s">
        <v>68</v>
      </c>
      <c r="C36" s="7" t="str">
        <f>IF(OR(C22="",C27="",C29="",C31=""),"",IF(C15&gt;3,(C31+C32+(((C22/C27)-1)*C29)),(((C22/C27)-1)*C29)+(2*C31)))</f>
        <v/>
      </c>
      <c r="D36" s="7" t="s">
        <v>18</v>
      </c>
      <c r="E36" s="10"/>
      <c r="F36" s="3" t="s">
        <v>69</v>
      </c>
    </row>
    <row r="37" spans="1:6" ht="37.5" customHeight="1" x14ac:dyDescent="0.25">
      <c r="A37" s="13">
        <v>28</v>
      </c>
      <c r="B37" s="24" t="s">
        <v>70</v>
      </c>
      <c r="C37" s="7" t="str">
        <f>IF(OR(C35="",C36=""),"",C35*C36)</f>
        <v/>
      </c>
      <c r="D37" s="6" t="s">
        <v>39</v>
      </c>
      <c r="E37" s="10"/>
      <c r="F37" s="3" t="s">
        <v>71</v>
      </c>
    </row>
    <row r="38" spans="1:6" ht="33" customHeight="1" x14ac:dyDescent="0.25">
      <c r="A38" s="13">
        <v>28</v>
      </c>
      <c r="B38" s="49" t="s">
        <v>72</v>
      </c>
      <c r="C38" s="7" t="str">
        <f>IF(OR(C35="",C36="",C27=""),"",C27*C35*C36)</f>
        <v/>
      </c>
      <c r="D38" s="6" t="s">
        <v>39</v>
      </c>
      <c r="E38" s="11" t="str">
        <f>IF(C38="","",IF((OR(C38&gt;C21,C38=C21)),"OK","Contact area too small"))</f>
        <v/>
      </c>
      <c r="F38" s="3" t="s">
        <v>73</v>
      </c>
    </row>
    <row r="39" spans="1:6" ht="33.75" customHeight="1" x14ac:dyDescent="0.25">
      <c r="A39" s="13">
        <v>29</v>
      </c>
      <c r="B39" s="24" t="s">
        <v>74</v>
      </c>
      <c r="C39" s="7" t="str">
        <f>IF(OR(C11="",C38=""),"",C11/C38)</f>
        <v/>
      </c>
      <c r="D39" s="7" t="s">
        <v>75</v>
      </c>
      <c r="E39" s="10"/>
      <c r="F39" s="3" t="s">
        <v>76</v>
      </c>
    </row>
    <row r="40" spans="1:6" ht="48.75" customHeight="1" x14ac:dyDescent="0.25">
      <c r="A40" s="13">
        <v>30</v>
      </c>
      <c r="B40" s="24" t="s">
        <v>77</v>
      </c>
      <c r="C40" s="7" t="str">
        <f>IF(OR(C13="",C14="",C17=""),"",IF((0.9+C17-C14)&lt;0.000001,0,(0.9+C17-C14)))</f>
        <v/>
      </c>
      <c r="D40" s="7" t="s">
        <v>18</v>
      </c>
      <c r="E40" s="9" t="str">
        <f>IF(C40="","",IF(C40=0,"Inground System",IF(C14=0,"Above Ground System","Partially Above Ground System ")))</f>
        <v/>
      </c>
      <c r="F40" s="3" t="s">
        <v>78</v>
      </c>
    </row>
    <row r="41" spans="1:6" ht="34.5" customHeight="1" x14ac:dyDescent="0.25">
      <c r="A41" s="13">
        <v>31</v>
      </c>
      <c r="B41" s="24" t="s">
        <v>79</v>
      </c>
      <c r="C41" s="7" t="str">
        <f>IF(C15="","",IF(C15&gt;10,0.9,"N/A"))</f>
        <v/>
      </c>
      <c r="D41" s="7" t="s">
        <v>18</v>
      </c>
      <c r="E41" s="10"/>
      <c r="F41" s="3" t="s">
        <v>80</v>
      </c>
    </row>
    <row r="42" spans="1:6" ht="39.75" customHeight="1" x14ac:dyDescent="0.25">
      <c r="A42" s="13">
        <v>32</v>
      </c>
      <c r="B42" s="24" t="s">
        <v>81</v>
      </c>
      <c r="C42" s="7" t="str">
        <f>IF(C41="","",IF(C41="N/A","N/A",C41+C36))</f>
        <v/>
      </c>
      <c r="D42" s="7" t="s">
        <v>18</v>
      </c>
      <c r="E42" s="10"/>
      <c r="F42" s="3" t="s">
        <v>82</v>
      </c>
    </row>
    <row r="43" spans="1:6" ht="47.4" customHeight="1" x14ac:dyDescent="0.25">
      <c r="A43" s="13">
        <v>33</v>
      </c>
      <c r="B43" s="24" t="s">
        <v>83</v>
      </c>
      <c r="C43" s="8" t="str">
        <f>IF(OR(C35="",C36="",C27="",C22="",C23=""),"",(C35*C36*C27*0.7)-(C22*C23*0.219))</f>
        <v/>
      </c>
      <c r="D43" s="6" t="s">
        <v>84</v>
      </c>
      <c r="E43" s="79" t="s">
        <v>85</v>
      </c>
      <c r="F43" s="3" t="s">
        <v>86</v>
      </c>
    </row>
    <row r="44" spans="1:6" ht="52.2" customHeight="1" x14ac:dyDescent="0.25">
      <c r="A44" s="13">
        <v>34</v>
      </c>
      <c r="B44" s="24" t="s">
        <v>87</v>
      </c>
      <c r="C44" s="8" t="str">
        <f>IF(OR(C17="",C38=""),"",(C17*C38))</f>
        <v/>
      </c>
      <c r="D44" s="6" t="s">
        <v>84</v>
      </c>
      <c r="E44" s="79" t="s">
        <v>85</v>
      </c>
      <c r="F44" s="3" t="s">
        <v>88</v>
      </c>
    </row>
    <row r="45" spans="1:6" ht="38.25" customHeight="1" x14ac:dyDescent="0.25">
      <c r="A45" s="13">
        <v>35</v>
      </c>
      <c r="B45" s="83" t="s">
        <v>89</v>
      </c>
      <c r="C45" s="83"/>
      <c r="D45" s="83"/>
      <c r="E45" s="9" t="str">
        <f>IF(OR(E10="",E11="",E13="",E14="",E15="",E17="",E18="",E22="",E23="",E24="",E27="",E29="",E31="",E34="",E38=""),"",IF(AND(E10="OK",E11="OK",E13="OK",E14="OK",E15="OK",E17="OK",E18="OK",E22="OK",E23="OK",E24="OK",E27="OK",E29="OK",E31="OK",E34="OK",E38="OK"),"OK","Changes are required"))</f>
        <v/>
      </c>
      <c r="F45" s="3" t="s">
        <v>90</v>
      </c>
    </row>
    <row r="46" spans="1:6" ht="38.25" customHeight="1" x14ac:dyDescent="0.25">
      <c r="A46" s="18"/>
      <c r="B46" s="19"/>
      <c r="C46" s="68"/>
      <c r="D46" s="19"/>
      <c r="E46" s="19"/>
      <c r="F46" s="20"/>
    </row>
    <row r="47" spans="1:6" ht="39" customHeight="1" x14ac:dyDescent="0.25">
      <c r="A47" s="18" t="s">
        <v>91</v>
      </c>
      <c r="B47" s="82" t="s">
        <v>92</v>
      </c>
      <c r="C47" s="82"/>
      <c r="D47" s="82"/>
      <c r="E47" s="82"/>
      <c r="F47" s="82"/>
    </row>
    <row r="52" spans="2:3" hidden="1" x14ac:dyDescent="0.25"/>
    <row r="53" spans="2:3" hidden="1" x14ac:dyDescent="0.25">
      <c r="B53" s="80" t="s">
        <v>93</v>
      </c>
    </row>
    <row r="54" spans="2:3" hidden="1" x14ac:dyDescent="0.25">
      <c r="B54" s="80" t="s">
        <v>94</v>
      </c>
      <c r="C54" s="29" t="e">
        <f>C22/C27</f>
        <v>#DIV/0!</v>
      </c>
    </row>
    <row r="55" spans="2:3" hidden="1" x14ac:dyDescent="0.25">
      <c r="B55" s="80" t="s">
        <v>95</v>
      </c>
      <c r="C55" s="29" t="e">
        <f>ROUNDUP(C54,0)</f>
        <v>#DIV/0!</v>
      </c>
    </row>
    <row r="56" spans="2:3" hidden="1" x14ac:dyDescent="0.25">
      <c r="B56" s="80" t="s">
        <v>96</v>
      </c>
      <c r="C56" s="29" t="e">
        <f>C54-C55</f>
        <v>#DIV/0!</v>
      </c>
    </row>
    <row r="57" spans="2:3" hidden="1" x14ac:dyDescent="0.25">
      <c r="B57" s="80" t="s">
        <v>97</v>
      </c>
      <c r="C57" s="29" t="e">
        <f>IF(C54-C55=0,"OK","Unballanced number of row per section - Change number of sections")</f>
        <v>#DIV/0!</v>
      </c>
    </row>
    <row r="58" spans="2:3" hidden="1" x14ac:dyDescent="0.25"/>
    <row r="64" spans="2:3" ht="27.6" customHeight="1" x14ac:dyDescent="0.25"/>
  </sheetData>
  <sheetProtection sheet="1" objects="1" scenarios="1"/>
  <mergeCells count="4">
    <mergeCell ref="B47:F47"/>
    <mergeCell ref="B45:D45"/>
    <mergeCell ref="C8:C9"/>
    <mergeCell ref="E8:E9"/>
  </mergeCells>
  <phoneticPr fontId="2" type="noConversion"/>
  <printOptions horizontalCentered="1" verticalCentered="1"/>
  <pageMargins left="0.23622047244094491" right="0.23622047244094491" top="0.23622047244094491" bottom="0.55118110236220474" header="0.31496062992125984" footer="0.31496062992125984"/>
  <pageSetup scale="50" fitToHeight="2" orientation="landscape" r:id="rId1"/>
  <headerFooter alignWithMargins="0">
    <oddFooter>&amp;R&amp;14&amp;P/&amp;N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BB95-691E-4AEA-AF92-DCB8903AB3D5}">
  <dimension ref="A1:G20"/>
  <sheetViews>
    <sheetView workbookViewId="0">
      <selection activeCell="A4" sqref="A4"/>
    </sheetView>
  </sheetViews>
  <sheetFormatPr defaultColWidth="11.44140625" defaultRowHeight="13.2" x14ac:dyDescent="0.25"/>
  <sheetData>
    <row r="1" spans="1:4" x14ac:dyDescent="0.25">
      <c r="A1" s="62" t="s">
        <v>98</v>
      </c>
      <c r="B1" s="62" t="s">
        <v>99</v>
      </c>
      <c r="C1" s="62" t="s">
        <v>100</v>
      </c>
    </row>
    <row r="2" spans="1:4" x14ac:dyDescent="0.25">
      <c r="A2" t="b">
        <f>IF('ESP Leaching Bed'!C10&gt;15,TRUE,FALSE)</f>
        <v>0</v>
      </c>
      <c r="B2">
        <f>('ESP Leaching Bed'!C11*'ESP Leaching Bed'!C10)/400</f>
        <v>0</v>
      </c>
      <c r="C2" s="62" t="s">
        <v>101</v>
      </c>
    </row>
    <row r="3" spans="1:4" x14ac:dyDescent="0.25">
      <c r="A3" t="b">
        <f>IF(AND('ESP Leaching Bed'!C10&lt;=15,'ESP Leaching Bed'!C11&lt;=3000),TRUE,FALSE)</f>
        <v>1</v>
      </c>
      <c r="B3" s="63">
        <f>('ESP Leaching Bed'!C11*'ESP Leaching Bed'!C10)/850</f>
        <v>0</v>
      </c>
      <c r="C3" s="62" t="s">
        <v>102</v>
      </c>
    </row>
    <row r="4" spans="1:4" x14ac:dyDescent="0.25">
      <c r="A4" t="b">
        <f>IF(AND('ESP Leaching Bed'!C10&lt;=15,'ESP Leaching Bed'!C11&gt;3000),TRUE,FALSE)</f>
        <v>0</v>
      </c>
      <c r="B4">
        <f>'ESP Leaching Bed'!C11/50</f>
        <v>0</v>
      </c>
      <c r="C4" s="62" t="s">
        <v>103</v>
      </c>
    </row>
    <row r="12" spans="1:4" ht="13.8" x14ac:dyDescent="0.3">
      <c r="D12" s="64" t="s">
        <v>104</v>
      </c>
    </row>
    <row r="20" spans="7:7" x14ac:dyDescent="0.25">
      <c r="G20" s="62" t="s">
        <v>105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774E-C840-4393-8658-526171FDB902}">
  <dimension ref="A1:M62"/>
  <sheetViews>
    <sheetView topLeftCell="A22" zoomScale="60" zoomScaleNormal="60" workbookViewId="0">
      <selection activeCell="C41" sqref="C41"/>
    </sheetView>
  </sheetViews>
  <sheetFormatPr defaultColWidth="11.5546875" defaultRowHeight="13.2" x14ac:dyDescent="0.25"/>
  <cols>
    <col min="1" max="1" width="11.5546875" style="1"/>
    <col min="2" max="2" width="53.109375" style="1" customWidth="1"/>
    <col min="3" max="3" width="25.6640625" style="29" customWidth="1"/>
    <col min="4" max="4" width="15.6640625" style="1" customWidth="1"/>
    <col min="5" max="5" width="33.109375" style="1" customWidth="1"/>
    <col min="6" max="6" width="100.109375" style="1" customWidth="1"/>
    <col min="7" max="7" width="11.5546875" style="1"/>
    <col min="8" max="8" width="11.5546875" style="1" customWidth="1"/>
    <col min="9" max="16384" width="11.5546875" style="1"/>
  </cols>
  <sheetData>
    <row r="1" spans="1:13" ht="111" customHeight="1" x14ac:dyDescent="0.25"/>
    <row r="2" spans="1:13" ht="34.5" customHeight="1" x14ac:dyDescent="0.5">
      <c r="B2" s="15" t="s">
        <v>0</v>
      </c>
    </row>
    <row r="3" spans="1:13" ht="34.5" customHeight="1" x14ac:dyDescent="0.4">
      <c r="B3" s="2" t="s">
        <v>1</v>
      </c>
      <c r="C3" s="65" t="s">
        <v>2</v>
      </c>
      <c r="D3" s="14"/>
    </row>
    <row r="4" spans="1:13" ht="34.5" customHeight="1" x14ac:dyDescent="0.4">
      <c r="B4" s="2"/>
      <c r="C4" s="66"/>
      <c r="D4" s="14"/>
    </row>
    <row r="5" spans="1:13" ht="34.5" customHeight="1" x14ac:dyDescent="0.25">
      <c r="B5" s="22" t="s">
        <v>3</v>
      </c>
      <c r="C5" s="78">
        <f>'ESP Leaching Bed'!C5</f>
        <v>0</v>
      </c>
      <c r="D5" s="70"/>
      <c r="E5" s="71"/>
    </row>
    <row r="6" spans="1:13" ht="34.5" customHeight="1" x14ac:dyDescent="0.5">
      <c r="B6" s="22" t="s">
        <v>4</v>
      </c>
      <c r="C6" s="78">
        <f>'ESP Leaching Bed'!C6</f>
        <v>0</v>
      </c>
      <c r="D6" s="70"/>
      <c r="E6" s="71"/>
      <c r="F6" s="39">
        <f ca="1">TODAY()</f>
        <v>46087</v>
      </c>
    </row>
    <row r="7" spans="1:13" ht="14.25" customHeight="1" x14ac:dyDescent="0.25"/>
    <row r="8" spans="1:13" ht="64.5" customHeight="1" x14ac:dyDescent="0.3">
      <c r="B8" s="4"/>
      <c r="C8" s="84" t="s">
        <v>5</v>
      </c>
      <c r="E8" s="84" t="s">
        <v>6</v>
      </c>
    </row>
    <row r="9" spans="1:13" ht="54" customHeight="1" x14ac:dyDescent="0.25">
      <c r="A9" s="12" t="s">
        <v>7</v>
      </c>
      <c r="B9" s="16" t="s">
        <v>8</v>
      </c>
      <c r="C9" s="85"/>
      <c r="D9" s="17" t="s">
        <v>9</v>
      </c>
      <c r="E9" s="85"/>
      <c r="F9" s="12" t="s">
        <v>10</v>
      </c>
    </row>
    <row r="10" spans="1:13" ht="54" customHeight="1" x14ac:dyDescent="0.4">
      <c r="A10" s="13">
        <v>1</v>
      </c>
      <c r="B10" s="23" t="s">
        <v>11</v>
      </c>
      <c r="C10" s="5"/>
      <c r="D10" s="6" t="s">
        <v>12</v>
      </c>
      <c r="E10" s="9" t="str">
        <f>IF(AND(C10&gt;0,C10&lt;125.00001),"OK",IF(C10="","Enter T-Time","Incorrect T-Time"))</f>
        <v>Enter T-Time</v>
      </c>
      <c r="F10" s="3" t="s">
        <v>13</v>
      </c>
      <c r="G10" s="77"/>
      <c r="L10"/>
      <c r="M10"/>
    </row>
    <row r="11" spans="1:13" ht="55.5" customHeight="1" x14ac:dyDescent="0.4">
      <c r="A11" s="13">
        <v>2</v>
      </c>
      <c r="B11" s="23" t="s">
        <v>14</v>
      </c>
      <c r="C11" s="52"/>
      <c r="D11" s="6" t="s">
        <v>15</v>
      </c>
      <c r="E11" s="9" t="str">
        <f>IF(C11&gt;0,"OK",IF(C11="","Enter Design Flow","Incorrect Design Flow"))</f>
        <v>Enter Design Flow</v>
      </c>
      <c r="F11" s="3" t="s">
        <v>16</v>
      </c>
      <c r="G11" s="77"/>
      <c r="K11"/>
    </row>
    <row r="12" spans="1:13" ht="48.75" customHeight="1" x14ac:dyDescent="0.25">
      <c r="A12" s="13">
        <v>3</v>
      </c>
      <c r="B12" s="24" t="s">
        <v>17</v>
      </c>
      <c r="C12" s="6" t="str">
        <f>IF(C10="","",IF(OR(C10&lt;=6,C10&gt;50),0.6,0.45))</f>
        <v/>
      </c>
      <c r="D12" s="6" t="s">
        <v>18</v>
      </c>
      <c r="E12" s="10"/>
      <c r="F12" s="3" t="s">
        <v>19</v>
      </c>
    </row>
    <row r="13" spans="1:13" ht="50.25" customHeight="1" x14ac:dyDescent="0.25">
      <c r="A13" s="13">
        <v>4</v>
      </c>
      <c r="B13" s="23" t="s">
        <v>20</v>
      </c>
      <c r="C13" s="5"/>
      <c r="D13" s="6" t="s">
        <v>18</v>
      </c>
      <c r="E13" s="9" t="str">
        <f>IF(C13="","Enter Dept",IF(AND(C10&gt;50,C13&gt;0),"enter 0",IF(C13&lt;0,"Dept need to be over 0","OK")))</f>
        <v>Enter Dept</v>
      </c>
      <c r="F13" s="3" t="s">
        <v>21</v>
      </c>
    </row>
    <row r="14" spans="1:13" ht="64.5" customHeight="1" x14ac:dyDescent="0.25">
      <c r="A14" s="13">
        <v>5</v>
      </c>
      <c r="B14" s="23" t="s">
        <v>22</v>
      </c>
      <c r="C14" s="5"/>
      <c r="D14" s="6" t="s">
        <v>18</v>
      </c>
      <c r="E14" s="9" t="str">
        <f>IF(C14="","Enter Dept",IF(C14&gt;C13,"Soil dept is not large enough","OK"))</f>
        <v>Enter Dept</v>
      </c>
      <c r="F14" s="3" t="s">
        <v>23</v>
      </c>
    </row>
    <row r="15" spans="1:13" ht="39.75" customHeight="1" x14ac:dyDescent="0.25">
      <c r="A15" s="13">
        <v>6</v>
      </c>
      <c r="B15" s="23" t="s">
        <v>24</v>
      </c>
      <c r="C15" s="5"/>
      <c r="D15" s="8" t="s">
        <v>25</v>
      </c>
      <c r="E15" s="9" t="str">
        <f>IF(C15="","Enter Slope",IF(AND(C15&gt;=0,C15&lt;=25),"OK","Slope error"))</f>
        <v>Enter Slope</v>
      </c>
      <c r="F15" s="3" t="s">
        <v>26</v>
      </c>
    </row>
    <row r="16" spans="1:13" ht="49.5" customHeight="1" x14ac:dyDescent="0.25">
      <c r="A16" s="13">
        <v>7</v>
      </c>
      <c r="B16" s="24" t="s">
        <v>27</v>
      </c>
      <c r="C16" s="6" t="str">
        <f>IF(OR(C13="",C14=""),"",C13-C14)</f>
        <v/>
      </c>
      <c r="D16" s="6" t="s">
        <v>18</v>
      </c>
      <c r="E16" s="9" t="str">
        <f>IF(C16="","",IF(C16&lt;0,"Dept inconsistensies",IF(C16&lt;C12,"Imported sand layer required","OK")))</f>
        <v/>
      </c>
      <c r="F16" s="3" t="s">
        <v>28</v>
      </c>
    </row>
    <row r="17" spans="1:6" ht="50.25" customHeight="1" x14ac:dyDescent="0.25">
      <c r="A17" s="13">
        <v>8</v>
      </c>
      <c r="B17" s="23" t="s">
        <v>29</v>
      </c>
      <c r="C17" s="5"/>
      <c r="D17" s="6" t="s">
        <v>18</v>
      </c>
      <c r="E17" s="9" t="str">
        <f>IF(C17="","Enter Value",IF(C17&lt;0,"Thickness needs to be 0 or more","OK"))</f>
        <v>Enter Value</v>
      </c>
      <c r="F17" s="3" t="s">
        <v>30</v>
      </c>
    </row>
    <row r="18" spans="1:6" ht="52.5" customHeight="1" x14ac:dyDescent="0.25">
      <c r="A18" s="13">
        <v>9</v>
      </c>
      <c r="B18" s="24" t="s">
        <v>31</v>
      </c>
      <c r="C18" s="6" t="str">
        <f>IF(OR(C16="",C17=""),"",C16+C17)</f>
        <v/>
      </c>
      <c r="D18" s="6" t="s">
        <v>18</v>
      </c>
      <c r="E18" s="9" t="str">
        <f>IF(C18="","",IF(C18&lt;C12,"Separation distance error","OK"))</f>
        <v/>
      </c>
      <c r="F18" s="3" t="s">
        <v>32</v>
      </c>
    </row>
    <row r="19" spans="1:6" ht="35.25" customHeight="1" x14ac:dyDescent="0.25">
      <c r="A19" s="13">
        <v>10</v>
      </c>
      <c r="B19" s="24" t="s">
        <v>33</v>
      </c>
      <c r="C19" s="30">
        <f>ROUNDUP(C11/126,0)</f>
        <v>0</v>
      </c>
      <c r="D19" s="6" t="s">
        <v>34</v>
      </c>
      <c r="E19" s="10"/>
      <c r="F19" s="3" t="s">
        <v>35</v>
      </c>
    </row>
    <row r="20" spans="1:6" ht="36.75" customHeight="1" x14ac:dyDescent="0.25">
      <c r="A20" s="13">
        <v>11</v>
      </c>
      <c r="B20" s="24" t="s">
        <v>36</v>
      </c>
      <c r="C20" s="6">
        <f>IF(C19="","",C19*3.05)</f>
        <v>0</v>
      </c>
      <c r="D20" s="6" t="s">
        <v>18</v>
      </c>
      <c r="E20" s="10"/>
      <c r="F20" s="3" t="s">
        <v>37</v>
      </c>
    </row>
    <row r="21" spans="1:6" ht="35.25" customHeight="1" x14ac:dyDescent="0.25">
      <c r="A21" s="13">
        <v>12</v>
      </c>
      <c r="B21" s="24" t="s">
        <v>38</v>
      </c>
      <c r="C21" s="30">
        <f>VLOOKUP(TRUE,Feuil1!A2:B4,2,FALSE)</f>
        <v>0</v>
      </c>
      <c r="D21" s="6" t="s">
        <v>39</v>
      </c>
      <c r="E21" s="10"/>
      <c r="F21" s="3" t="str">
        <f>VLOOKUP(TRUE,Feuil1!A2:C4,3)</f>
        <v>Minimum contact area = QT/850, because T ≤ 15 min/cm and Q ≤ 3000 L/d</v>
      </c>
    </row>
    <row r="22" spans="1:6" ht="35.25" customHeight="1" x14ac:dyDescent="0.25">
      <c r="A22" s="13">
        <v>13</v>
      </c>
      <c r="B22" s="23" t="s">
        <v>40</v>
      </c>
      <c r="C22" s="5"/>
      <c r="D22" s="6" t="s">
        <v>41</v>
      </c>
      <c r="E22" s="9" t="str">
        <f>IF(C22="","Enter Number of Rows",IF(C22&gt;0,"OK","Incorrect number of rows"))</f>
        <v>Enter Number of Rows</v>
      </c>
      <c r="F22" s="3" t="s">
        <v>42</v>
      </c>
    </row>
    <row r="23" spans="1:6" ht="37.5" customHeight="1" x14ac:dyDescent="0.25">
      <c r="A23" s="13">
        <v>14</v>
      </c>
      <c r="B23" s="23" t="s">
        <v>43</v>
      </c>
      <c r="C23" s="5"/>
      <c r="D23" s="6" t="s">
        <v>34</v>
      </c>
      <c r="E23" s="9" t="str">
        <f>IF(C23="","Enter Number of Pipe per Row",IF(OR(C23&gt;10,C23&lt;2),"Incorrect number of pipe per row","OK"))</f>
        <v>Enter Number of Pipe per Row</v>
      </c>
      <c r="F23" s="3" t="s">
        <v>44</v>
      </c>
    </row>
    <row r="24" spans="1:6" ht="48.75" customHeight="1" x14ac:dyDescent="0.25">
      <c r="A24" s="13">
        <v>15</v>
      </c>
      <c r="B24" s="24" t="s">
        <v>45</v>
      </c>
      <c r="C24" s="6" t="str">
        <f>IF(OR(C22="",C23=""),"",C22*C23)</f>
        <v/>
      </c>
      <c r="D24" s="6" t="s">
        <v>34</v>
      </c>
      <c r="E24" s="9" t="str">
        <f>IF(C24="","",IF(C24&lt;C19,"Insufficient number of pipes","OK"))</f>
        <v/>
      </c>
      <c r="F24" s="3" t="s">
        <v>46</v>
      </c>
    </row>
    <row r="25" spans="1:6" ht="35.25" customHeight="1" x14ac:dyDescent="0.25">
      <c r="A25" s="13">
        <v>16</v>
      </c>
      <c r="B25" s="24" t="s">
        <v>47</v>
      </c>
      <c r="C25" s="6" t="str">
        <f>IF(C24="","",C24*3.05)</f>
        <v/>
      </c>
      <c r="D25" s="6" t="s">
        <v>18</v>
      </c>
      <c r="E25" s="10"/>
      <c r="F25" s="3" t="s">
        <v>48</v>
      </c>
    </row>
    <row r="26" spans="1:6" ht="35.25" customHeight="1" x14ac:dyDescent="0.25">
      <c r="A26" s="13">
        <v>17</v>
      </c>
      <c r="B26" s="24" t="s">
        <v>49</v>
      </c>
      <c r="C26" s="7">
        <f>C23*3.05</f>
        <v>0</v>
      </c>
      <c r="D26" s="6" t="s">
        <v>18</v>
      </c>
      <c r="E26" s="10"/>
      <c r="F26" s="3" t="s">
        <v>50</v>
      </c>
    </row>
    <row r="27" spans="1:6" ht="48" customHeight="1" x14ac:dyDescent="0.25">
      <c r="A27" s="13">
        <v>18</v>
      </c>
      <c r="B27" s="23" t="s">
        <v>51</v>
      </c>
      <c r="C27" s="5"/>
      <c r="D27" s="6" t="s">
        <v>52</v>
      </c>
      <c r="E27" s="9" t="str">
        <f>IF(C27="","Enter Number of Sections",IF(C52-C53=0,"OK","Unballanced number of row per section - Change number of sections"))</f>
        <v>Enter Number of Sections</v>
      </c>
      <c r="F27" s="3" t="s">
        <v>53</v>
      </c>
    </row>
    <row r="28" spans="1:6" ht="39.6" customHeight="1" x14ac:dyDescent="0.25">
      <c r="A28" s="13">
        <v>20</v>
      </c>
      <c r="B28" s="23" t="s">
        <v>56</v>
      </c>
      <c r="C28" s="5"/>
      <c r="D28" s="6" t="s">
        <v>18</v>
      </c>
      <c r="E28" s="11" t="str">
        <f>IF(C28="","Enter Value",IF(OR(C28&gt;0.45,C28=0.45),"OK","ECC error"))</f>
        <v>Enter Value</v>
      </c>
      <c r="F28" s="3" t="s">
        <v>57</v>
      </c>
    </row>
    <row r="29" spans="1:6" ht="35.25" customHeight="1" x14ac:dyDescent="0.25">
      <c r="A29" s="13">
        <v>22</v>
      </c>
      <c r="B29" s="23" t="s">
        <v>106</v>
      </c>
      <c r="C29" s="5"/>
      <c r="D29" s="7" t="s">
        <v>18</v>
      </c>
      <c r="E29" s="11" t="str">
        <f>IF(C29="","Enter Value",IF(OR(C29&gt;0.45,C29=0.45),"OK","EL error"))</f>
        <v>Enter Value</v>
      </c>
      <c r="F29" s="3" t="s">
        <v>60</v>
      </c>
    </row>
    <row r="30" spans="1:6" ht="35.25" customHeight="1" x14ac:dyDescent="0.25">
      <c r="A30" s="13">
        <v>23</v>
      </c>
      <c r="B30" s="23" t="s">
        <v>107</v>
      </c>
      <c r="C30" s="5"/>
      <c r="D30" s="7" t="s">
        <v>18</v>
      </c>
      <c r="E30" s="11" t="str">
        <f>IF(C30="","Enter Value",IF(OR(C30&gt;0.45,C30=0.45),"OK","EL error"))</f>
        <v>Enter Value</v>
      </c>
      <c r="F30" s="3" t="s">
        <v>60</v>
      </c>
    </row>
    <row r="31" spans="1:6" ht="39" customHeight="1" x14ac:dyDescent="0.25">
      <c r="A31" s="13">
        <v>26</v>
      </c>
      <c r="B31" s="23" t="s">
        <v>108</v>
      </c>
      <c r="C31" s="5"/>
      <c r="D31" s="7" t="s">
        <v>18</v>
      </c>
      <c r="E31" s="11" t="str">
        <f>IF(C31="","Enter Value",IF(OR(C31&gt;0.3,C31=0.3),"OK","EE error"))</f>
        <v>Enter Value</v>
      </c>
      <c r="F31" s="3" t="s">
        <v>65</v>
      </c>
    </row>
    <row r="32" spans="1:6" ht="39" customHeight="1" x14ac:dyDescent="0.25">
      <c r="A32" s="13">
        <v>27</v>
      </c>
      <c r="B32" s="23" t="s">
        <v>109</v>
      </c>
      <c r="C32" s="5"/>
      <c r="D32" s="7" t="s">
        <v>18</v>
      </c>
      <c r="E32" s="11" t="str">
        <f>IF(C32="","Enter Value",IF(OR(C32&gt;0.3,C32=0.3),"OK","EE error"))</f>
        <v>Enter Value</v>
      </c>
      <c r="F32" s="3" t="s">
        <v>65</v>
      </c>
    </row>
    <row r="33" spans="1:6" ht="35.25" customHeight="1" x14ac:dyDescent="0.25">
      <c r="A33" s="13">
        <v>28</v>
      </c>
      <c r="B33" s="24" t="s">
        <v>66</v>
      </c>
      <c r="C33" s="7" t="str">
        <f>IF(OR(C23="",C31=""),"",(C23*3.05)+(C31+C32))</f>
        <v/>
      </c>
      <c r="D33" s="7" t="s">
        <v>18</v>
      </c>
      <c r="E33" s="10"/>
      <c r="F33" s="3" t="s">
        <v>67</v>
      </c>
    </row>
    <row r="34" spans="1:6" ht="37.5" customHeight="1" x14ac:dyDescent="0.25">
      <c r="A34" s="13">
        <v>29</v>
      </c>
      <c r="B34" s="24" t="s">
        <v>68</v>
      </c>
      <c r="C34" s="7">
        <f>((C29+C30)+(C22-1)*C28)*C27</f>
        <v>0</v>
      </c>
      <c r="D34" s="7" t="s">
        <v>18</v>
      </c>
      <c r="E34" s="10"/>
      <c r="F34" s="3" t="s">
        <v>69</v>
      </c>
    </row>
    <row r="35" spans="1:6" ht="37.5" customHeight="1" x14ac:dyDescent="0.25">
      <c r="A35" s="13">
        <v>30</v>
      </c>
      <c r="B35" s="24" t="s">
        <v>70</v>
      </c>
      <c r="C35" s="7" t="str">
        <f>IF(OR(C33="",C34=""),"",C33*C34)</f>
        <v/>
      </c>
      <c r="D35" s="6" t="s">
        <v>39</v>
      </c>
      <c r="E35" s="10"/>
      <c r="F35" s="3" t="s">
        <v>71</v>
      </c>
    </row>
    <row r="36" spans="1:6" ht="33" customHeight="1" x14ac:dyDescent="0.25">
      <c r="A36" s="13">
        <v>31</v>
      </c>
      <c r="B36" s="49" t="s">
        <v>110</v>
      </c>
      <c r="C36" s="7" t="str">
        <f>IF(OR(C33="",C34="",C27=""),"",C27*C33*C34)</f>
        <v/>
      </c>
      <c r="D36" s="6" t="s">
        <v>39</v>
      </c>
      <c r="E36" s="11" t="str">
        <f>IF(C36="","",IF((OR(C36&gt;C21,C36=C21)),"OK","Contact area too small"))</f>
        <v/>
      </c>
      <c r="F36" s="3" t="s">
        <v>73</v>
      </c>
    </row>
    <row r="37" spans="1:6" ht="33.75" customHeight="1" x14ac:dyDescent="0.25">
      <c r="A37" s="13">
        <v>32</v>
      </c>
      <c r="B37" s="24" t="s">
        <v>74</v>
      </c>
      <c r="C37" s="7" t="str">
        <f>IF(OR(C11="",C36=""),"",C11/C36)</f>
        <v/>
      </c>
      <c r="D37" s="7" t="s">
        <v>75</v>
      </c>
      <c r="E37" s="10"/>
      <c r="F37" s="3" t="s">
        <v>76</v>
      </c>
    </row>
    <row r="38" spans="1:6" ht="48.75" customHeight="1" x14ac:dyDescent="0.25">
      <c r="A38" s="13">
        <v>33</v>
      </c>
      <c r="B38" s="24" t="s">
        <v>77</v>
      </c>
      <c r="C38" s="7" t="str">
        <f>IF(OR(C13="",C14="",C17=""),"",IF((0.9+C17-C14)&lt;0.000001,0,(0.9+C17-C14)))</f>
        <v/>
      </c>
      <c r="D38" s="7" t="s">
        <v>18</v>
      </c>
      <c r="E38" s="9" t="str">
        <f>IF(C38="","",IF(C38=0,"Inground System",IF(C14=0,"Above Ground System","Partially Above Ground System ")))</f>
        <v/>
      </c>
      <c r="F38" s="3" t="s">
        <v>78</v>
      </c>
    </row>
    <row r="39" spans="1:6" ht="34.5" customHeight="1" x14ac:dyDescent="0.25">
      <c r="A39" s="13">
        <v>34</v>
      </c>
      <c r="B39" s="24" t="s">
        <v>79</v>
      </c>
      <c r="C39" s="7" t="str">
        <f>IF(C15="","",IF(C15&gt;10,0.9,"N/A"))</f>
        <v/>
      </c>
      <c r="D39" s="7" t="s">
        <v>18</v>
      </c>
      <c r="E39" s="10"/>
      <c r="F39" s="3" t="s">
        <v>80</v>
      </c>
    </row>
    <row r="40" spans="1:6" ht="39.75" customHeight="1" x14ac:dyDescent="0.25">
      <c r="A40" s="13">
        <v>35</v>
      </c>
      <c r="B40" s="24" t="s">
        <v>81</v>
      </c>
      <c r="C40" s="7" t="str">
        <f>IF(C39="","",IF(C39="N/A","N/A",C39+C34))</f>
        <v/>
      </c>
      <c r="D40" s="7" t="s">
        <v>18</v>
      </c>
      <c r="E40" s="10"/>
      <c r="F40" s="3" t="s">
        <v>82</v>
      </c>
    </row>
    <row r="41" spans="1:6" ht="47.4" customHeight="1" x14ac:dyDescent="0.25">
      <c r="A41" s="13">
        <v>36</v>
      </c>
      <c r="B41" s="24" t="s">
        <v>83</v>
      </c>
      <c r="C41" s="8" t="str">
        <f>IF(OR(C33="",C34="",C27="",C22="",C23=""),"",(C33*C34*C27*0.7)-(C22*C23*0.219))</f>
        <v/>
      </c>
      <c r="D41" s="6" t="s">
        <v>84</v>
      </c>
      <c r="E41" s="10"/>
      <c r="F41" s="3" t="s">
        <v>86</v>
      </c>
    </row>
    <row r="42" spans="1:6" ht="40.200000000000003" customHeight="1" x14ac:dyDescent="0.25">
      <c r="A42" s="13">
        <v>37</v>
      </c>
      <c r="B42" s="24" t="s">
        <v>87</v>
      </c>
      <c r="C42" s="8" t="str">
        <f>IF(OR(C17="",C36=""),"",(C17*C36))</f>
        <v/>
      </c>
      <c r="D42" s="6" t="s">
        <v>84</v>
      </c>
      <c r="E42" s="10"/>
      <c r="F42" s="3" t="s">
        <v>88</v>
      </c>
    </row>
    <row r="43" spans="1:6" ht="38.25" customHeight="1" x14ac:dyDescent="0.25">
      <c r="A43" s="13">
        <v>38</v>
      </c>
      <c r="B43" s="83" t="s">
        <v>89</v>
      </c>
      <c r="C43" s="83"/>
      <c r="D43" s="83"/>
      <c r="E43" s="9" t="str">
        <f>IF(OR(E10="",E11="",E13="",E14="",E15="",E17="",E18="",E22="",E23="",E24="",E27="",E28="",E29="",E31="",E36=""),"",IF(AND(E10="OK",E11="OK",E13="OK",E14="OK",E15="OK",E17="OK",E18="OK",E22="OK",E23="OK",E24="OK",E27="OK",E28="OK",E29="OK",E31="OK",E36="OK"),"OK","Changes are required"))</f>
        <v/>
      </c>
      <c r="F43" s="3" t="s">
        <v>111</v>
      </c>
    </row>
    <row r="44" spans="1:6" ht="38.25" customHeight="1" x14ac:dyDescent="0.25">
      <c r="A44" s="18"/>
      <c r="B44" s="19"/>
      <c r="C44" s="68"/>
      <c r="D44" s="19"/>
      <c r="E44" s="19"/>
      <c r="F44" s="20"/>
    </row>
    <row r="45" spans="1:6" ht="39" customHeight="1" x14ac:dyDescent="0.25">
      <c r="A45" s="18" t="s">
        <v>91</v>
      </c>
      <c r="B45" s="82" t="s">
        <v>92</v>
      </c>
      <c r="C45" s="82"/>
      <c r="D45" s="82"/>
      <c r="E45" s="82"/>
      <c r="F45" s="82"/>
    </row>
    <row r="50" spans="2:3" hidden="1" x14ac:dyDescent="0.25"/>
    <row r="51" spans="2:3" hidden="1" x14ac:dyDescent="0.25">
      <c r="B51" s="80" t="s">
        <v>93</v>
      </c>
    </row>
    <row r="52" spans="2:3" hidden="1" x14ac:dyDescent="0.25">
      <c r="B52" s="80" t="s">
        <v>94</v>
      </c>
      <c r="C52" s="29" t="e">
        <f>C22/C27</f>
        <v>#DIV/0!</v>
      </c>
    </row>
    <row r="53" spans="2:3" hidden="1" x14ac:dyDescent="0.25">
      <c r="B53" s="80" t="s">
        <v>95</v>
      </c>
      <c r="C53" s="29" t="e">
        <f>ROUNDUP(C52,0)</f>
        <v>#DIV/0!</v>
      </c>
    </row>
    <row r="54" spans="2:3" hidden="1" x14ac:dyDescent="0.25">
      <c r="B54" s="80" t="s">
        <v>96</v>
      </c>
      <c r="C54" s="29" t="e">
        <f>C52-C53</f>
        <v>#DIV/0!</v>
      </c>
    </row>
    <row r="55" spans="2:3" hidden="1" x14ac:dyDescent="0.25">
      <c r="B55" s="80" t="s">
        <v>97</v>
      </c>
      <c r="C55" s="29" t="e">
        <f>IF(C52-C53=0,"OK","Unballanced number of row per section - Change number of sections")</f>
        <v>#DIV/0!</v>
      </c>
    </row>
    <row r="56" spans="2:3" hidden="1" x14ac:dyDescent="0.25"/>
    <row r="62" spans="2:3" ht="27.6" customHeight="1" x14ac:dyDescent="0.25"/>
  </sheetData>
  <sheetProtection sheet="1" objects="1" scenarios="1"/>
  <mergeCells count="4">
    <mergeCell ref="C8:C9"/>
    <mergeCell ref="E8:E9"/>
    <mergeCell ref="B43:D43"/>
    <mergeCell ref="B45:F45"/>
  </mergeCells>
  <printOptions horizontalCentered="1" verticalCentered="1"/>
  <pageMargins left="0.23622047244094491" right="0.23622047244094491" top="0.23622047244094491" bottom="0.55118110236220474" header="0.31496062992125984" footer="0.31496062992125984"/>
  <pageSetup scale="50" fitToHeight="2" orientation="portrait" r:id="rId1"/>
  <headerFooter alignWithMargins="0">
    <oddFooter>&amp;R&amp;14&amp;P/&amp;N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409C-E797-4A0B-B395-CA462B136043}">
  <sheetPr>
    <pageSetUpPr fitToPage="1"/>
  </sheetPr>
  <dimension ref="A12:S123"/>
  <sheetViews>
    <sheetView zoomScale="85" zoomScaleNormal="85" workbookViewId="0">
      <selection activeCell="F27" sqref="F27:H27"/>
    </sheetView>
  </sheetViews>
  <sheetFormatPr defaultColWidth="11.5546875" defaultRowHeight="13.2" x14ac:dyDescent="0.25"/>
  <cols>
    <col min="1" max="1" width="8.33203125" style="1" customWidth="1"/>
    <col min="2" max="2" width="13.6640625" style="1" customWidth="1"/>
    <col min="3" max="3" width="13.6640625" style="1" bestFit="1" customWidth="1"/>
    <col min="4" max="8" width="11.5546875" style="1"/>
    <col min="9" max="9" width="12.5546875" style="1" customWidth="1"/>
    <col min="10" max="10" width="9.44140625" style="1" customWidth="1"/>
    <col min="11" max="12" width="11.5546875" style="1"/>
    <col min="13" max="14" width="14" style="1" customWidth="1"/>
    <col min="15" max="15" width="26.6640625" style="1" customWidth="1"/>
    <col min="16" max="16384" width="11.5546875" style="1"/>
  </cols>
  <sheetData>
    <row r="12" spans="2:15" ht="17.399999999999999" x14ac:dyDescent="0.3">
      <c r="B12" s="125" t="s">
        <v>112</v>
      </c>
      <c r="C12" s="125"/>
      <c r="D12" s="129" t="str">
        <f>IF('ESP Leaching Bed'!C5="","",'ESP Leaching Bed'!C5)</f>
        <v/>
      </c>
      <c r="E12" s="129"/>
      <c r="F12" s="129"/>
      <c r="G12" s="129"/>
      <c r="H12" s="129"/>
      <c r="I12" s="129"/>
      <c r="J12" s="129"/>
      <c r="K12" s="129"/>
      <c r="L12" s="129"/>
      <c r="M12" s="129"/>
      <c r="N12" s="129"/>
      <c r="O12" s="129"/>
    </row>
    <row r="13" spans="2:15" ht="17.399999999999999" x14ac:dyDescent="0.3">
      <c r="B13" s="125" t="s">
        <v>113</v>
      </c>
      <c r="C13" s="125"/>
      <c r="D13" s="129" t="str">
        <f>IF('ESP Leaching Bed'!C6="","",'ESP Leaching Bed'!C6)</f>
        <v/>
      </c>
      <c r="E13" s="129"/>
      <c r="F13" s="129"/>
      <c r="G13" s="129"/>
      <c r="H13" s="129"/>
      <c r="I13" s="129"/>
      <c r="J13" s="129"/>
      <c r="K13" s="129"/>
      <c r="L13" s="125" t="s">
        <v>114</v>
      </c>
      <c r="M13" s="125"/>
      <c r="N13" s="130">
        <f ca="1">TODAY()</f>
        <v>46087</v>
      </c>
      <c r="O13" s="95"/>
    </row>
    <row r="14" spans="2:15" ht="17.399999999999999" x14ac:dyDescent="0.3">
      <c r="F14" s="26"/>
    </row>
    <row r="15" spans="2:15" ht="42.75" customHeight="1" x14ac:dyDescent="0.3">
      <c r="B15" s="125" t="s">
        <v>115</v>
      </c>
      <c r="C15" s="125"/>
      <c r="D15" s="125"/>
      <c r="E15" s="125"/>
      <c r="F15" s="95" t="s">
        <v>116</v>
      </c>
      <c r="G15" s="95"/>
      <c r="H15" s="95"/>
      <c r="I15" s="25" t="s">
        <v>9</v>
      </c>
      <c r="K15" s="126" t="s">
        <v>117</v>
      </c>
      <c r="L15" s="127"/>
      <c r="M15" s="127"/>
      <c r="N15" s="127"/>
      <c r="O15" s="128"/>
    </row>
    <row r="16" spans="2:15" ht="21" customHeight="1" x14ac:dyDescent="0.4">
      <c r="B16" s="124" t="s">
        <v>11</v>
      </c>
      <c r="C16" s="124"/>
      <c r="D16" s="124"/>
      <c r="E16" s="124"/>
      <c r="F16" s="95">
        <f>IF(F27="No",'ESP Leaching Bed'!C10,'ESP Bed - Custom spacing'!C10)</f>
        <v>0</v>
      </c>
      <c r="G16" s="95"/>
      <c r="H16" s="95"/>
      <c r="I16" s="25" t="s">
        <v>12</v>
      </c>
      <c r="K16" s="27" t="s">
        <v>118</v>
      </c>
      <c r="L16" s="114" t="s">
        <v>119</v>
      </c>
      <c r="M16" s="115"/>
      <c r="N16" s="115"/>
      <c r="O16" s="116"/>
    </row>
    <row r="17" spans="2:15" ht="21" customHeight="1" x14ac:dyDescent="0.4">
      <c r="B17" s="120" t="s">
        <v>120</v>
      </c>
      <c r="C17" s="121"/>
      <c r="D17" s="121"/>
      <c r="E17" s="122"/>
      <c r="F17" s="95">
        <f>IF(F27="No",'ESP Leaching Bed'!C11,'ESP Bed - Custom spacing'!C11)</f>
        <v>0</v>
      </c>
      <c r="G17" s="95"/>
      <c r="H17" s="95"/>
      <c r="I17" s="25" t="s">
        <v>15</v>
      </c>
      <c r="K17" s="27" t="s">
        <v>121</v>
      </c>
      <c r="L17" s="114" t="s">
        <v>122</v>
      </c>
      <c r="M17" s="115"/>
      <c r="N17" s="115"/>
      <c r="O17" s="116"/>
    </row>
    <row r="18" spans="2:15" ht="21" customHeight="1" x14ac:dyDescent="0.4">
      <c r="B18" s="125" t="s">
        <v>40</v>
      </c>
      <c r="C18" s="125"/>
      <c r="D18" s="125"/>
      <c r="E18" s="125"/>
      <c r="F18" s="95">
        <f>IF(F27="No",'ESP Leaching Bed'!C22,'ESP Bed - Custom spacing'!C22)</f>
        <v>0</v>
      </c>
      <c r="G18" s="95"/>
      <c r="H18" s="95"/>
      <c r="I18" s="25" t="s">
        <v>41</v>
      </c>
      <c r="K18" s="27" t="s">
        <v>123</v>
      </c>
      <c r="L18" s="114" t="s">
        <v>124</v>
      </c>
      <c r="M18" s="115"/>
      <c r="N18" s="115"/>
      <c r="O18" s="116"/>
    </row>
    <row r="19" spans="2:15" ht="21" customHeight="1" x14ac:dyDescent="0.4">
      <c r="B19" s="125" t="s">
        <v>43</v>
      </c>
      <c r="C19" s="125"/>
      <c r="D19" s="125"/>
      <c r="E19" s="125"/>
      <c r="F19" s="95">
        <f>IF(F27="No",'ESP Leaching Bed'!C23,'ESP Bed - Custom spacing'!C23)</f>
        <v>0</v>
      </c>
      <c r="G19" s="95"/>
      <c r="H19" s="95"/>
      <c r="I19" s="25" t="s">
        <v>34</v>
      </c>
      <c r="K19" s="27" t="s">
        <v>125</v>
      </c>
      <c r="L19" s="114" t="s">
        <v>126</v>
      </c>
      <c r="M19" s="115"/>
      <c r="N19" s="115"/>
      <c r="O19" s="116"/>
    </row>
    <row r="20" spans="2:15" ht="21" customHeight="1" x14ac:dyDescent="0.4">
      <c r="B20" s="125" t="s">
        <v>45</v>
      </c>
      <c r="C20" s="125"/>
      <c r="D20" s="125"/>
      <c r="E20" s="125"/>
      <c r="F20" s="95" t="str">
        <f>IF(F27="No",'ESP Leaching Bed'!C24,'ESP Bed - Custom spacing'!C24)</f>
        <v/>
      </c>
      <c r="G20" s="95"/>
      <c r="H20" s="95"/>
      <c r="I20" s="25" t="s">
        <v>34</v>
      </c>
      <c r="K20" s="27" t="s">
        <v>127</v>
      </c>
      <c r="L20" s="114" t="s">
        <v>128</v>
      </c>
      <c r="M20" s="115"/>
      <c r="N20" s="115"/>
      <c r="O20" s="116"/>
    </row>
    <row r="21" spans="2:15" ht="37.5" customHeight="1" x14ac:dyDescent="0.4">
      <c r="B21" s="125" t="s">
        <v>47</v>
      </c>
      <c r="C21" s="125"/>
      <c r="D21" s="125"/>
      <c r="E21" s="125"/>
      <c r="F21" s="95">
        <f>'Summary - Leaching Bed'!F19*3.05</f>
        <v>0</v>
      </c>
      <c r="G21" s="95"/>
      <c r="H21" s="95"/>
      <c r="I21" s="25" t="s">
        <v>18</v>
      </c>
      <c r="K21" s="27" t="s">
        <v>129</v>
      </c>
      <c r="L21" s="114" t="s">
        <v>130</v>
      </c>
      <c r="M21" s="115"/>
      <c r="N21" s="115"/>
      <c r="O21" s="116"/>
    </row>
    <row r="22" spans="2:15" ht="21" customHeight="1" x14ac:dyDescent="0.4">
      <c r="B22" s="125" t="s">
        <v>51</v>
      </c>
      <c r="C22" s="125"/>
      <c r="D22" s="125"/>
      <c r="E22" s="125"/>
      <c r="F22" s="95">
        <f>IF(F27="No",'ESP Leaching Bed'!C27,'ESP Bed - Custom spacing'!C27)</f>
        <v>0</v>
      </c>
      <c r="G22" s="95"/>
      <c r="H22" s="95"/>
      <c r="I22" s="25" t="s">
        <v>52</v>
      </c>
      <c r="K22" s="27" t="s">
        <v>131</v>
      </c>
      <c r="L22" s="114" t="s">
        <v>132</v>
      </c>
      <c r="M22" s="115"/>
      <c r="N22" s="115"/>
      <c r="O22" s="116"/>
    </row>
    <row r="23" spans="2:15" ht="21" customHeight="1" x14ac:dyDescent="0.3">
      <c r="B23" s="125" t="s">
        <v>72</v>
      </c>
      <c r="C23" s="125"/>
      <c r="D23" s="125"/>
      <c r="E23" s="125"/>
      <c r="F23" s="123" t="str">
        <f>IF(F27="No",'ESP Leaching Bed'!C38,'ESP Bed - Custom spacing'!C36)</f>
        <v/>
      </c>
      <c r="G23" s="123"/>
      <c r="H23" s="123"/>
      <c r="I23" s="25" t="s">
        <v>133</v>
      </c>
      <c r="K23" s="27" t="s">
        <v>134</v>
      </c>
      <c r="L23" s="114" t="s">
        <v>135</v>
      </c>
      <c r="M23" s="115"/>
      <c r="N23" s="115"/>
      <c r="O23" s="116"/>
    </row>
    <row r="24" spans="2:15" ht="21" customHeight="1" x14ac:dyDescent="0.4">
      <c r="B24" s="125" t="s">
        <v>74</v>
      </c>
      <c r="C24" s="125"/>
      <c r="D24" s="125"/>
      <c r="E24" s="125"/>
      <c r="F24" s="123" t="str">
        <f>IF(F27="No",'ESP Leaching Bed'!C39,'ESP Bed - Custom spacing'!C37)</f>
        <v/>
      </c>
      <c r="G24" s="123"/>
      <c r="H24" s="123"/>
      <c r="I24" s="25" t="s">
        <v>136</v>
      </c>
      <c r="K24" s="27" t="s">
        <v>137</v>
      </c>
      <c r="L24" s="114" t="s">
        <v>138</v>
      </c>
      <c r="M24" s="115"/>
      <c r="N24" s="115"/>
      <c r="O24" s="116"/>
    </row>
    <row r="25" spans="2:15" ht="39.75" customHeight="1" x14ac:dyDescent="0.4">
      <c r="B25" s="120" t="s">
        <v>139</v>
      </c>
      <c r="C25" s="121"/>
      <c r="D25" s="121"/>
      <c r="E25" s="122"/>
      <c r="F25" s="123" t="str">
        <f>IF(F27="No",'ESP Leaching Bed'!C43,'ESP Bed - Custom spacing'!C41)</f>
        <v/>
      </c>
      <c r="G25" s="123"/>
      <c r="H25" s="123"/>
      <c r="I25" s="25" t="s">
        <v>140</v>
      </c>
      <c r="K25" s="27" t="s">
        <v>141</v>
      </c>
      <c r="L25" s="114" t="s">
        <v>142</v>
      </c>
      <c r="M25" s="115"/>
      <c r="N25" s="115"/>
      <c r="O25" s="116"/>
    </row>
    <row r="26" spans="2:15" ht="39.75" customHeight="1" x14ac:dyDescent="0.4">
      <c r="B26" s="124" t="s">
        <v>143</v>
      </c>
      <c r="C26" s="124"/>
      <c r="D26" s="124"/>
      <c r="E26" s="124"/>
      <c r="F26" s="123" t="str">
        <f>IF(F27="No",'ESP Leaching Bed'!C44,'ESP Bed - Custom spacing'!C42)</f>
        <v/>
      </c>
      <c r="G26" s="123"/>
      <c r="H26" s="123"/>
      <c r="I26" s="25" t="s">
        <v>140</v>
      </c>
      <c r="K26" s="27" t="s">
        <v>144</v>
      </c>
      <c r="L26" s="114" t="s">
        <v>145</v>
      </c>
      <c r="M26" s="115"/>
      <c r="N26" s="115"/>
      <c r="O26" s="116"/>
    </row>
    <row r="27" spans="2:15" ht="21" customHeight="1" x14ac:dyDescent="0.4">
      <c r="B27" s="113" t="s">
        <v>146</v>
      </c>
      <c r="C27" s="113"/>
      <c r="D27" s="113"/>
      <c r="E27" s="113"/>
      <c r="F27" s="113" t="s">
        <v>217</v>
      </c>
      <c r="G27" s="113"/>
      <c r="H27" s="113"/>
      <c r="K27" s="27" t="s">
        <v>147</v>
      </c>
      <c r="L27" s="114" t="s">
        <v>148</v>
      </c>
      <c r="M27" s="115"/>
      <c r="N27" s="115"/>
      <c r="O27" s="116"/>
    </row>
    <row r="28" spans="2:15" ht="37.5" customHeight="1" x14ac:dyDescent="0.45">
      <c r="B28" s="74" t="s">
        <v>149</v>
      </c>
      <c r="C28" s="75"/>
      <c r="D28" s="75"/>
      <c r="E28" s="76">
        <f>F22</f>
        <v>0</v>
      </c>
      <c r="K28" s="27" t="s">
        <v>150</v>
      </c>
      <c r="L28" s="114" t="s">
        <v>151</v>
      </c>
      <c r="M28" s="115"/>
      <c r="N28" s="115"/>
      <c r="O28" s="116"/>
    </row>
    <row r="29" spans="2:15" ht="16.2" customHeight="1" x14ac:dyDescent="0.35">
      <c r="K29" s="27" t="s">
        <v>152</v>
      </c>
      <c r="L29" s="117" t="s">
        <v>153</v>
      </c>
      <c r="M29" s="118"/>
      <c r="N29" s="118"/>
      <c r="O29" s="119"/>
    </row>
    <row r="32" spans="2:15" ht="22.8" x14ac:dyDescent="0.4">
      <c r="C32" s="28" t="s">
        <v>154</v>
      </c>
    </row>
    <row r="33" spans="1:16" ht="15" x14ac:dyDescent="0.25">
      <c r="G33" s="21" t="s">
        <v>155</v>
      </c>
    </row>
    <row r="34" spans="1:16" ht="15" x14ac:dyDescent="0.25">
      <c r="G34" s="21"/>
    </row>
    <row r="35" spans="1:16" ht="12.75" customHeight="1" x14ac:dyDescent="0.25">
      <c r="C35" s="107" t="str">
        <f>IF(F27="Yes","EE1 = ","EE = ")</f>
        <v xml:space="preserve">EE = </v>
      </c>
      <c r="D35" s="89" t="str">
        <f>IF(C35="EE = ",'ESP Leaching Bed'!C34&amp;" m - "&amp;'ESP Leaching Bed'!C34*3.28&amp;" ft",'ESP Bed - Custom spacing'!C31&amp;" m - "&amp;'ESP Bed - Custom spacing'!C31*3.28&amp;" ft ")</f>
        <v xml:space="preserve"> m - 0 ft</v>
      </c>
      <c r="E35" s="90"/>
      <c r="G35" s="96" t="s">
        <v>156</v>
      </c>
      <c r="H35" s="109" t="str">
        <f>3.08*F19&amp;" m - "&amp;ROUND(F19*3.08*3.28,3)&amp;" ft"</f>
        <v>0 m - 0 ft</v>
      </c>
      <c r="I35" s="110"/>
      <c r="K35" s="107" t="str">
        <f>IF(F27="Yes","EE2 = ","EE = ")</f>
        <v xml:space="preserve">EE = </v>
      </c>
      <c r="L35" s="89" t="str">
        <f>IF(C35="EE1 = ",'ESP Bed - Custom spacing'!C32&amp;" m - "&amp;'ESP Bed - Custom spacing'!C32*3.28&amp;" ft",D35)</f>
        <v xml:space="preserve"> m - 0 ft</v>
      </c>
      <c r="M35" s="90"/>
    </row>
    <row r="36" spans="1:16" ht="12.75" customHeight="1" x14ac:dyDescent="0.25">
      <c r="C36" s="108"/>
      <c r="D36" s="91"/>
      <c r="E36" s="92"/>
      <c r="G36" s="97"/>
      <c r="H36" s="111"/>
      <c r="I36" s="112"/>
      <c r="K36" s="108"/>
      <c r="L36" s="91"/>
      <c r="M36" s="92"/>
    </row>
    <row r="37" spans="1:16" x14ac:dyDescent="0.25">
      <c r="N37" s="103" t="s">
        <v>157</v>
      </c>
      <c r="O37" s="105">
        <f>'ESP Leaching Bed'!C15/100</f>
        <v>0</v>
      </c>
    </row>
    <row r="38" spans="1:16" x14ac:dyDescent="0.25">
      <c r="N38" s="104"/>
      <c r="O38" s="106"/>
    </row>
    <row r="39" spans="1:16" ht="13.2" customHeight="1" x14ac:dyDescent="0.25">
      <c r="A39" s="99" t="str">
        <f>IF(OR('ESP Leaching Bed'!C15&gt;3,F27="Yes"),"EL1 =","EL =")</f>
        <v>EL =</v>
      </c>
      <c r="B39" s="94" t="str">
        <f>IF(A39="EL =",'ESP Leaching Bed'!C31&amp;" m",'ESP Bed - Custom spacing'!C29&amp;" m")</f>
        <v xml:space="preserve"> m</v>
      </c>
      <c r="N39" s="34" t="str">
        <f>IF('ESP Leaching Bed'!C15=0,"","I")</f>
        <v/>
      </c>
    </row>
    <row r="40" spans="1:16" ht="17.399999999999999" customHeight="1" x14ac:dyDescent="0.25">
      <c r="A40" s="100"/>
      <c r="B40" s="94"/>
      <c r="N40" s="34" t="str">
        <f>IF('ESP Leaching Bed'!C15=0,"","I")</f>
        <v/>
      </c>
    </row>
    <row r="41" spans="1:16" ht="12.75" customHeight="1" x14ac:dyDescent="0.25">
      <c r="A41" s="100"/>
      <c r="B41" s="94" t="str">
        <f>IF(A39="EL =",'ESP Leaching Bed'!C31*3.28&amp;" ft",'ESP Bed - Custom spacing'!C29*3.28&amp;" ft")</f>
        <v>0 ft</v>
      </c>
      <c r="N41" s="34" t="str">
        <f>IF('ESP Leaching Bed'!C15=0,"","I")</f>
        <v/>
      </c>
    </row>
    <row r="42" spans="1:16" ht="12.75" customHeight="1" x14ac:dyDescent="0.25">
      <c r="A42" s="101"/>
      <c r="B42" s="94"/>
      <c r="N42" s="34" t="str">
        <f>IF('ESP Leaching Bed'!C15=0,"","I")</f>
        <v/>
      </c>
    </row>
    <row r="43" spans="1:16" x14ac:dyDescent="0.25">
      <c r="N43" s="34" t="str">
        <f>IF('ESP Leaching Bed'!C15=0,"","\ I /")</f>
        <v/>
      </c>
    </row>
    <row r="44" spans="1:16" x14ac:dyDescent="0.25">
      <c r="N44" s="34" t="str">
        <f>IF('ESP Leaching Bed'!C15=0,"","V")</f>
        <v/>
      </c>
    </row>
    <row r="45" spans="1:16" ht="12.75" customHeight="1" x14ac:dyDescent="0.3">
      <c r="A45" s="99" t="s">
        <v>158</v>
      </c>
      <c r="B45" s="94" t="str">
        <f>IF(F27="No",'ESP Leaching Bed'!C29&amp;" m",'ESP Bed - Custom spacing'!C28&amp;" m")</f>
        <v xml:space="preserve"> m</v>
      </c>
      <c r="N45" s="86" t="s">
        <v>159</v>
      </c>
      <c r="O45" s="102" t="e">
        <f>IF(F27="No",(F18/F22-1)*'ESP Leaching Bed'!C29&amp;" m",('ESP Bed - Custom spacing'!C22/'ESP Bed - Custom spacing'!C27-1)*'ESP Bed - Custom spacing'!C28&amp;" m ")</f>
        <v>#DIV/0!</v>
      </c>
      <c r="P45" s="61"/>
    </row>
    <row r="46" spans="1:16" ht="12.75" customHeight="1" x14ac:dyDescent="0.3">
      <c r="A46" s="100"/>
      <c r="B46" s="94"/>
      <c r="N46" s="86"/>
      <c r="O46" s="102"/>
      <c r="P46" s="61"/>
    </row>
    <row r="47" spans="1:16" ht="13.2" customHeight="1" x14ac:dyDescent="0.25">
      <c r="A47" s="100"/>
      <c r="B47" s="95" t="str">
        <f>IF(F27="No",ROUND('ESP Leaching Bed'!C29*3.28,1)&amp;" ft",ROUND('ESP Bed - Custom spacing'!C28*3.28,1)&amp;" ft")</f>
        <v>0 ft</v>
      </c>
      <c r="N47" s="86"/>
      <c r="O47" s="95" t="e">
        <f>IF(F27="No",ROUND((F18/F22-1)*'ESP Leaching Bed'!C29*3.28,1)&amp;" ft",ROUND(('Summary - Leaching Bed'!F18/F22-1)*'ESP Bed - Custom spacing'!C28*3.28,2)&amp;" ft")</f>
        <v>#DIV/0!</v>
      </c>
    </row>
    <row r="48" spans="1:16" ht="13.2" customHeight="1" x14ac:dyDescent="0.25">
      <c r="A48" s="101"/>
      <c r="B48" s="95"/>
      <c r="N48" s="86"/>
      <c r="O48" s="95"/>
    </row>
    <row r="50" spans="1:19" ht="13.2" customHeight="1" x14ac:dyDescent="0.3">
      <c r="N50" s="98" t="s">
        <v>160</v>
      </c>
      <c r="O50" s="87" t="str">
        <f>IF(F27="No",'ESP Leaching Bed'!C36&amp;" m",'ESP Bed - Custom spacing'!C34&amp;" m ")</f>
        <v xml:space="preserve"> m</v>
      </c>
      <c r="Q50" s="61"/>
    </row>
    <row r="51" spans="1:19" ht="12.75" customHeight="1" x14ac:dyDescent="0.3">
      <c r="N51" s="98"/>
      <c r="O51" s="87"/>
      <c r="P51" s="61"/>
      <c r="Q51" s="61"/>
    </row>
    <row r="52" spans="1:19" x14ac:dyDescent="0.25">
      <c r="N52" s="98"/>
      <c r="O52" s="86" t="e">
        <f>IF(F27="No",ROUND('ESP Leaching Bed'!C36*3.28,1)&amp;" ft",ROUND('ESP Bed - Custom spacing'!C34*3.28,2)&amp;" ft")</f>
        <v>#VALUE!</v>
      </c>
    </row>
    <row r="53" spans="1:19" x14ac:dyDescent="0.25">
      <c r="A53" s="99" t="str">
        <f>IF(OR('ESP Leaching Bed'!C15&gt;3,F27="Yes"),"EL2 =","EL =")</f>
        <v>EL =</v>
      </c>
      <c r="B53" s="95" t="str">
        <f>IF(A53="EL =",'ESP Leaching Bed'!C31&amp;" m",'ESP Bed - Custom spacing'!C30&amp;" m")</f>
        <v xml:space="preserve"> m</v>
      </c>
      <c r="N53" s="98"/>
      <c r="O53" s="86"/>
    </row>
    <row r="54" spans="1:19" ht="13.2" customHeight="1" x14ac:dyDescent="0.25">
      <c r="A54" s="100"/>
      <c r="B54" s="95"/>
    </row>
    <row r="55" spans="1:19" ht="13.2" customHeight="1" x14ac:dyDescent="0.25">
      <c r="A55" s="100"/>
      <c r="B55" s="94" t="str">
        <f>IF(A53="EL =",'ESP Leaching Bed'!C31*3.28&amp;" ft",'ESP Bed - Custom spacing'!C30*3.28&amp;" ft")</f>
        <v>0 ft</v>
      </c>
      <c r="N55" s="98" t="s">
        <v>161</v>
      </c>
      <c r="O55" s="87" t="str">
        <f>IF(OR('ESP Leaching Bed'!C15=10,'ESP Leaching Bed'!C15&lt;10),"N/A",'ESP Leaching Bed'!C42&amp;" m")</f>
        <v>N/A</v>
      </c>
    </row>
    <row r="56" spans="1:19" ht="12.75" customHeight="1" x14ac:dyDescent="0.25">
      <c r="A56" s="101"/>
      <c r="B56" s="94"/>
      <c r="N56" s="98"/>
      <c r="O56" s="87"/>
    </row>
    <row r="57" spans="1:19" ht="12.75" customHeight="1" x14ac:dyDescent="0.3">
      <c r="C57" s="61"/>
      <c r="N57" s="98"/>
      <c r="O57" s="86" t="str">
        <f>IF(OR('ESP Leaching Bed'!C15=10,'ESP Leaching Bed'!C15&lt;10),"N/A",'ESP Leaching Bed'!C42*3.28&amp;" ft")</f>
        <v>N/A</v>
      </c>
      <c r="S57" s="48"/>
    </row>
    <row r="58" spans="1:19" ht="19.95" customHeight="1" x14ac:dyDescent="0.25">
      <c r="A58" s="99" t="s">
        <v>162</v>
      </c>
      <c r="B58" s="94" t="str">
        <f>IF(OR('ESP Leaching Bed'!C15=10,'ESP Leaching Bed'!C15&lt;10),"N/A",'ESP Leaching Bed'!$C$41&amp;" m")</f>
        <v>N/A</v>
      </c>
      <c r="N58" s="98"/>
      <c r="O58" s="86"/>
    </row>
    <row r="59" spans="1:19" x14ac:dyDescent="0.25">
      <c r="A59" s="100"/>
      <c r="B59" s="94"/>
    </row>
    <row r="60" spans="1:19" ht="17.399999999999999" x14ac:dyDescent="0.3">
      <c r="A60" s="100"/>
      <c r="B60" s="95" t="str">
        <f>IF(OR('ESP Leaching Bed'!C15=10,'ESP Leaching Bed'!C15&lt;10),"N/A",'ESP Leaching Bed'!C41*3.28&amp;" ft")</f>
        <v>N/A</v>
      </c>
      <c r="C60" s="61"/>
    </row>
    <row r="61" spans="1:19" ht="12.75" customHeight="1" x14ac:dyDescent="0.3">
      <c r="A61" s="101"/>
      <c r="B61" s="95"/>
      <c r="C61" s="61"/>
    </row>
    <row r="62" spans="1:19" ht="13.2" customHeight="1" x14ac:dyDescent="0.25"/>
    <row r="63" spans="1:19" ht="20.25" customHeight="1" x14ac:dyDescent="0.25">
      <c r="G63" s="96" t="s">
        <v>163</v>
      </c>
      <c r="H63" s="89" t="e">
        <f>IF(F27="No",'ESP Leaching Bed'!C35&amp;" m - "&amp;'ESP Leaching Bed'!C35*3.28&amp;" ft",'ESP Bed - Custom spacing'!C33&amp;" m - "&amp;ROUND('ESP Bed - Custom spacing'!C33*3.28,2)&amp;" ft")</f>
        <v>#VALUE!</v>
      </c>
      <c r="I63" s="89"/>
      <c r="J63" s="90"/>
    </row>
    <row r="64" spans="1:19" ht="8.25" customHeight="1" x14ac:dyDescent="0.25">
      <c r="G64" s="97"/>
      <c r="H64" s="91"/>
      <c r="I64" s="91"/>
      <c r="J64" s="92"/>
    </row>
    <row r="65" spans="2:16" ht="24" customHeight="1" x14ac:dyDescent="0.3">
      <c r="H65" s="26"/>
      <c r="I65" s="61"/>
      <c r="J65" s="61"/>
      <c r="K65" s="61"/>
    </row>
    <row r="66" spans="2:16" ht="33" customHeight="1" x14ac:dyDescent="0.25"/>
    <row r="67" spans="2:16" ht="22.8" x14ac:dyDescent="0.4">
      <c r="C67" s="28" t="s">
        <v>164</v>
      </c>
      <c r="L67" s="21"/>
    </row>
    <row r="68" spans="2:16" ht="14.25" customHeight="1" x14ac:dyDescent="0.4">
      <c r="C68" s="28"/>
      <c r="G68" s="21" t="s">
        <v>155</v>
      </c>
      <c r="L68" s="21"/>
    </row>
    <row r="69" spans="2:16" ht="17.25" customHeight="1" x14ac:dyDescent="0.4">
      <c r="C69" s="28"/>
      <c r="G69" s="21"/>
      <c r="N69" s="35"/>
    </row>
    <row r="70" spans="2:16" ht="28.5" customHeight="1" x14ac:dyDescent="0.5">
      <c r="C70" s="28"/>
      <c r="D70" s="40" t="s">
        <v>157</v>
      </c>
      <c r="E70" s="41">
        <f>'ESP Leaching Bed'!C15/100</f>
        <v>0</v>
      </c>
      <c r="G70" s="37" t="str">
        <f>IF('ESP Leaching Bed'!C15=0,"","Slope Direction:")</f>
        <v/>
      </c>
      <c r="I70" s="38" t="str">
        <f>IF('ESP Leaching Bed'!C15=0,"","→→→")</f>
        <v/>
      </c>
      <c r="L70" s="21"/>
    </row>
    <row r="71" spans="2:16" ht="14.25" customHeight="1" x14ac:dyDescent="0.4">
      <c r="C71" s="28"/>
      <c r="E71" s="36"/>
      <c r="G71" s="21"/>
      <c r="L71" s="21"/>
    </row>
    <row r="72" spans="2:16" ht="14.25" customHeight="1" x14ac:dyDescent="0.4">
      <c r="C72" s="28"/>
      <c r="L72" s="21"/>
    </row>
    <row r="74" spans="2:16" ht="13.2" customHeight="1" x14ac:dyDescent="0.25">
      <c r="B74" s="96" t="str">
        <f>IF(OR('ESP Leaching Bed'!C15&gt;3,F27="Yes"),"EL1 =","EL =")</f>
        <v>EL =</v>
      </c>
      <c r="C74" s="89" t="str">
        <f>IF(A39="EL =",'ESP Leaching Bed'!C31&amp;" m - "&amp;'ESP Leaching Bed'!C31*3.28&amp;" ft",'ESP Bed - Custom spacing'!C29&amp;" m - "&amp;'ESP Bed - Custom spacing'!C29*3.28&amp;" ft")</f>
        <v xml:space="preserve"> m - 0 ft</v>
      </c>
      <c r="D74" s="90"/>
      <c r="F74" s="96" t="s">
        <v>158</v>
      </c>
      <c r="G74" s="89" t="str">
        <f>IF(F27="No",'ESP Leaching Bed'!C29&amp;" m -"&amp;'ESP Leaching Bed'!C29*3.28&amp;" ft",'ESP Bed - Custom spacing'!C28&amp;" m - "&amp;'ESP Bed - Custom spacing'!C28*3.28&amp;" ft")</f>
        <v xml:space="preserve"> m -0 ft</v>
      </c>
      <c r="H74" s="90"/>
      <c r="J74" s="96" t="str">
        <f>IF(OR('ESP Leaching Bed'!C15&gt;3,F27="Yes"),"EL2=","EL=")</f>
        <v>EL=</v>
      </c>
      <c r="K74" s="89" t="str">
        <f>IF(A53="EL =",'ESP Leaching Bed'!C31&amp;" m - "&amp;'ESP Leaching Bed'!C31*3.28&amp;" ft",'ESP Bed - Custom spacing'!C30&amp;" m - "&amp;'ESP Bed - Custom spacing'!C30*3.28&amp;" ft")</f>
        <v xml:space="preserve"> m - 0 ft</v>
      </c>
      <c r="L74" s="90"/>
    </row>
    <row r="75" spans="2:16" ht="13.2" customHeight="1" x14ac:dyDescent="0.25">
      <c r="B75" s="97"/>
      <c r="C75" s="91"/>
      <c r="D75" s="92"/>
      <c r="F75" s="97"/>
      <c r="G75" s="91"/>
      <c r="H75" s="92"/>
      <c r="J75" s="97"/>
      <c r="K75" s="91"/>
      <c r="L75" s="92"/>
    </row>
    <row r="76" spans="2:16" x14ac:dyDescent="0.25">
      <c r="C76" s="93"/>
      <c r="D76" s="93"/>
      <c r="E76" s="93"/>
      <c r="F76" s="93"/>
      <c r="G76" s="93"/>
      <c r="H76" s="93"/>
      <c r="I76" s="93"/>
      <c r="J76" s="93"/>
      <c r="K76" s="93"/>
      <c r="L76" s="93"/>
      <c r="M76" s="93"/>
    </row>
    <row r="77" spans="2:16" ht="12.75" customHeight="1" x14ac:dyDescent="0.3">
      <c r="C77" s="93"/>
      <c r="D77" s="93"/>
      <c r="E77" s="93"/>
      <c r="F77" s="93"/>
      <c r="G77" s="93"/>
      <c r="H77" s="93"/>
      <c r="I77" s="93"/>
      <c r="J77" s="93"/>
      <c r="K77" s="93"/>
      <c r="L77" s="93"/>
      <c r="M77" s="93"/>
      <c r="N77" s="86" t="s">
        <v>162</v>
      </c>
      <c r="O77" s="94" t="str">
        <f>IF(OR('ESP Leaching Bed'!C15=10,'ESP Leaching Bed'!C15&lt;10),"N/A",'ESP Leaching Bed'!$C$41&amp;" m")</f>
        <v>N/A</v>
      </c>
      <c r="P77" s="61"/>
    </row>
    <row r="78" spans="2:16" ht="12.75" customHeight="1" x14ac:dyDescent="0.3">
      <c r="C78" s="93"/>
      <c r="D78" s="93"/>
      <c r="E78" s="93"/>
      <c r="F78" s="93"/>
      <c r="G78" s="93"/>
      <c r="H78" s="93"/>
      <c r="I78" s="93"/>
      <c r="J78" s="93"/>
      <c r="K78" s="93"/>
      <c r="L78" s="93"/>
      <c r="M78" s="93"/>
      <c r="N78" s="86"/>
      <c r="O78" s="94"/>
      <c r="P78" s="61"/>
    </row>
    <row r="79" spans="2:16" x14ac:dyDescent="0.25">
      <c r="C79" s="93"/>
      <c r="D79" s="93"/>
      <c r="E79" s="93"/>
      <c r="F79" s="93"/>
      <c r="G79" s="93"/>
      <c r="H79" s="93"/>
      <c r="I79" s="93"/>
      <c r="J79" s="93"/>
      <c r="K79" s="93"/>
      <c r="L79" s="93"/>
      <c r="M79" s="93"/>
      <c r="N79" s="86"/>
      <c r="O79" s="95" t="str">
        <f>IF(OR('ESP Leaching Bed'!C15=10,'ESP Leaching Bed'!C15&lt;10),"N/A",'ESP Leaching Bed'!C41*3.28&amp;" ft")</f>
        <v>N/A</v>
      </c>
    </row>
    <row r="80" spans="2:16" x14ac:dyDescent="0.25">
      <c r="C80" s="93"/>
      <c r="D80" s="93"/>
      <c r="E80" s="93"/>
      <c r="F80" s="93"/>
      <c r="G80" s="93"/>
      <c r="H80" s="93"/>
      <c r="I80" s="93"/>
      <c r="J80" s="93"/>
      <c r="K80" s="93"/>
      <c r="L80" s="93"/>
      <c r="M80" s="93"/>
      <c r="N80" s="86"/>
      <c r="O80" s="95"/>
    </row>
    <row r="81" spans="1:16" x14ac:dyDescent="0.25">
      <c r="C81" s="93"/>
      <c r="D81" s="93"/>
      <c r="E81" s="93"/>
      <c r="F81" s="93"/>
      <c r="G81" s="93"/>
      <c r="H81" s="93"/>
      <c r="I81" s="93"/>
      <c r="J81" s="93"/>
      <c r="K81" s="93"/>
      <c r="L81" s="93"/>
      <c r="M81" s="93"/>
    </row>
    <row r="82" spans="1:16" ht="13.2" customHeight="1" x14ac:dyDescent="0.25">
      <c r="C82" s="93"/>
      <c r="D82" s="93"/>
      <c r="E82" s="93"/>
      <c r="F82" s="93"/>
      <c r="G82" s="93"/>
      <c r="H82" s="93"/>
      <c r="I82" s="93"/>
      <c r="J82" s="93"/>
      <c r="K82" s="93"/>
      <c r="L82" s="93"/>
      <c r="M82" s="93"/>
    </row>
    <row r="83" spans="1:16" ht="13.2" customHeight="1" x14ac:dyDescent="0.25">
      <c r="C83" s="93"/>
      <c r="D83" s="93"/>
      <c r="E83" s="93"/>
      <c r="F83" s="93"/>
      <c r="G83" s="93"/>
      <c r="H83" s="93"/>
      <c r="I83" s="93"/>
      <c r="J83" s="93"/>
      <c r="K83" s="93"/>
      <c r="L83" s="93"/>
      <c r="M83" s="93"/>
    </row>
    <row r="84" spans="1:16" x14ac:dyDescent="0.25">
      <c r="C84" s="93"/>
      <c r="D84" s="93"/>
      <c r="E84" s="93"/>
      <c r="F84" s="93"/>
      <c r="G84" s="93"/>
      <c r="H84" s="93"/>
      <c r="I84" s="93"/>
      <c r="J84" s="93"/>
      <c r="K84" s="93"/>
      <c r="L84" s="93"/>
      <c r="M84" s="93"/>
    </row>
    <row r="85" spans="1:16" x14ac:dyDescent="0.25">
      <c r="C85" s="93"/>
      <c r="D85" s="93"/>
      <c r="E85" s="93"/>
      <c r="F85" s="93"/>
      <c r="G85" s="93"/>
      <c r="H85" s="93"/>
      <c r="I85" s="93"/>
      <c r="J85" s="93"/>
      <c r="K85" s="93"/>
      <c r="L85" s="93"/>
      <c r="M85" s="93"/>
    </row>
    <row r="86" spans="1:16" x14ac:dyDescent="0.25">
      <c r="C86" s="93"/>
      <c r="D86" s="93"/>
      <c r="E86" s="93"/>
      <c r="F86" s="93"/>
      <c r="G86" s="93"/>
      <c r="H86" s="93"/>
      <c r="I86" s="93"/>
      <c r="J86" s="93"/>
      <c r="K86" s="93"/>
      <c r="L86" s="93"/>
      <c r="M86" s="93"/>
    </row>
    <row r="87" spans="1:16" x14ac:dyDescent="0.25">
      <c r="C87" s="93"/>
      <c r="D87" s="93"/>
      <c r="E87" s="93"/>
      <c r="F87" s="93"/>
      <c r="G87" s="93"/>
      <c r="H87" s="93"/>
      <c r="I87" s="93"/>
      <c r="J87" s="93"/>
      <c r="K87" s="93"/>
      <c r="L87" s="93"/>
      <c r="M87" s="93"/>
    </row>
    <row r="88" spans="1:16" x14ac:dyDescent="0.25">
      <c r="C88" s="93"/>
      <c r="D88" s="93"/>
      <c r="E88" s="93"/>
      <c r="F88" s="93"/>
      <c r="G88" s="93"/>
      <c r="H88" s="93"/>
      <c r="I88" s="93"/>
      <c r="J88" s="93"/>
      <c r="K88" s="93"/>
      <c r="L88" s="93"/>
      <c r="M88" s="93"/>
    </row>
    <row r="89" spans="1:16" x14ac:dyDescent="0.25">
      <c r="C89" s="93"/>
      <c r="D89" s="93"/>
      <c r="E89" s="93"/>
      <c r="F89" s="93"/>
      <c r="G89" s="93"/>
      <c r="H89" s="93"/>
      <c r="I89" s="93"/>
      <c r="J89" s="93"/>
      <c r="K89" s="93"/>
      <c r="L89" s="93"/>
      <c r="M89" s="93"/>
    </row>
    <row r="90" spans="1:16" ht="13.2" customHeight="1" x14ac:dyDescent="0.25">
      <c r="C90" s="93"/>
      <c r="D90" s="93"/>
      <c r="E90" s="93"/>
      <c r="F90" s="93"/>
      <c r="G90" s="93"/>
      <c r="H90" s="93"/>
      <c r="I90" s="93"/>
      <c r="J90" s="93"/>
      <c r="K90" s="93"/>
      <c r="L90" s="93"/>
      <c r="M90" s="93"/>
    </row>
    <row r="91" spans="1:16" ht="13.2" customHeight="1" x14ac:dyDescent="0.25">
      <c r="C91" s="93"/>
      <c r="D91" s="93"/>
      <c r="E91" s="93"/>
      <c r="F91" s="93"/>
      <c r="G91" s="93"/>
      <c r="H91" s="93"/>
      <c r="I91" s="93"/>
      <c r="J91" s="93"/>
      <c r="K91" s="93"/>
      <c r="L91" s="93"/>
      <c r="M91" s="93"/>
    </row>
    <row r="92" spans="1:16" x14ac:dyDescent="0.25">
      <c r="C92" s="93"/>
      <c r="D92" s="93"/>
      <c r="E92" s="93"/>
      <c r="F92" s="93"/>
      <c r="G92" s="93"/>
      <c r="H92" s="93"/>
      <c r="I92" s="93"/>
      <c r="J92" s="93"/>
      <c r="K92" s="93"/>
      <c r="L92" s="93"/>
      <c r="M92" s="93"/>
    </row>
    <row r="93" spans="1:16" x14ac:dyDescent="0.25">
      <c r="C93" s="93"/>
      <c r="D93" s="93"/>
      <c r="E93" s="93"/>
      <c r="F93" s="93"/>
      <c r="G93" s="93"/>
      <c r="H93" s="93"/>
      <c r="I93" s="93"/>
      <c r="J93" s="93"/>
      <c r="K93" s="93"/>
      <c r="L93" s="93"/>
      <c r="M93" s="93"/>
    </row>
    <row r="94" spans="1:16" ht="19.95" customHeight="1" x14ac:dyDescent="0.25">
      <c r="A94" s="86" t="s">
        <v>165</v>
      </c>
      <c r="B94" s="86" t="str">
        <f>'ESP Leaching Bed'!C17&amp;" m "</f>
        <v xml:space="preserve"> m </v>
      </c>
      <c r="C94" s="93"/>
      <c r="D94" s="93"/>
      <c r="E94" s="93"/>
      <c r="F94" s="93"/>
      <c r="G94" s="93"/>
      <c r="H94" s="93"/>
      <c r="I94" s="93"/>
      <c r="J94" s="93"/>
      <c r="K94" s="93"/>
      <c r="L94" s="93"/>
      <c r="M94" s="93"/>
    </row>
    <row r="95" spans="1:16" x14ac:dyDescent="0.25">
      <c r="A95" s="86"/>
      <c r="B95" s="86"/>
      <c r="C95" s="93"/>
      <c r="D95" s="93"/>
      <c r="E95" s="93"/>
      <c r="F95" s="93"/>
      <c r="G95" s="93"/>
      <c r="H95" s="93"/>
      <c r="I95" s="93"/>
      <c r="J95" s="93"/>
      <c r="K95" s="93"/>
      <c r="L95" s="93"/>
      <c r="M95" s="93"/>
    </row>
    <row r="96" spans="1:16" ht="13.2" customHeight="1" x14ac:dyDescent="0.3">
      <c r="A96" s="86"/>
      <c r="B96" s="87" t="str">
        <f>'ESP Leaching Bed'!C17*3.28&amp;" ft"</f>
        <v>0 ft</v>
      </c>
      <c r="C96" s="93"/>
      <c r="D96" s="93"/>
      <c r="E96" s="93"/>
      <c r="F96" s="93"/>
      <c r="G96" s="93"/>
      <c r="H96" s="93"/>
      <c r="I96" s="93"/>
      <c r="J96" s="93"/>
      <c r="K96" s="93"/>
      <c r="L96" s="93"/>
      <c r="M96" s="93"/>
      <c r="N96" s="86" t="s">
        <v>166</v>
      </c>
      <c r="O96" s="94" t="str">
        <f>'ESP Leaching Bed'!C18&amp;" m "</f>
        <v xml:space="preserve"> m </v>
      </c>
      <c r="P96" s="61"/>
    </row>
    <row r="97" spans="1:17" ht="13.2" customHeight="1" x14ac:dyDescent="0.3">
      <c r="A97" s="86"/>
      <c r="B97" s="86"/>
      <c r="C97" s="93"/>
      <c r="D97" s="93"/>
      <c r="E97" s="93"/>
      <c r="F97" s="93"/>
      <c r="G97" s="93"/>
      <c r="H97" s="93"/>
      <c r="I97" s="93"/>
      <c r="J97" s="93"/>
      <c r="K97" s="93"/>
      <c r="L97" s="93"/>
      <c r="M97" s="93"/>
      <c r="N97" s="86"/>
      <c r="O97" s="94"/>
      <c r="P97" s="61"/>
    </row>
    <row r="98" spans="1:17" ht="13.2" customHeight="1" x14ac:dyDescent="0.35">
      <c r="C98" s="93"/>
      <c r="D98" s="93"/>
      <c r="E98" s="93"/>
      <c r="F98" s="93"/>
      <c r="G98" s="93"/>
      <c r="H98" s="93"/>
      <c r="I98" s="93"/>
      <c r="J98" s="93"/>
      <c r="K98" s="93"/>
      <c r="L98" s="93"/>
      <c r="M98" s="93"/>
      <c r="N98" s="86"/>
      <c r="O98" s="95" t="e">
        <f>'ESP Leaching Bed'!C18*3.28&amp;" ft"</f>
        <v>#VALUE!</v>
      </c>
      <c r="Q98" s="60"/>
    </row>
    <row r="99" spans="1:17" ht="13.2" customHeight="1" x14ac:dyDescent="0.35">
      <c r="C99" s="93"/>
      <c r="D99" s="93"/>
      <c r="E99" s="93"/>
      <c r="F99" s="93"/>
      <c r="G99" s="93"/>
      <c r="H99" s="93"/>
      <c r="I99" s="93"/>
      <c r="J99" s="93"/>
      <c r="K99" s="93"/>
      <c r="L99" s="93"/>
      <c r="M99" s="93"/>
      <c r="N99" s="86"/>
      <c r="O99" s="95"/>
      <c r="Q99" s="60"/>
    </row>
    <row r="100" spans="1:17" ht="12.75" customHeight="1" x14ac:dyDescent="0.25">
      <c r="A100" s="86" t="s">
        <v>167</v>
      </c>
      <c r="B100" s="87" t="str">
        <f>'ESP Leaching Bed'!C16&amp;" m"</f>
        <v xml:space="preserve"> m</v>
      </c>
      <c r="C100" s="93"/>
      <c r="D100" s="93"/>
      <c r="E100" s="93"/>
      <c r="F100" s="93"/>
      <c r="G100" s="93"/>
      <c r="H100" s="93"/>
      <c r="I100" s="93"/>
      <c r="J100" s="93"/>
      <c r="K100" s="93"/>
      <c r="L100" s="93"/>
      <c r="M100" s="93"/>
    </row>
    <row r="101" spans="1:17" ht="13.2" customHeight="1" x14ac:dyDescent="0.25">
      <c r="A101" s="86"/>
      <c r="B101" s="86"/>
      <c r="C101" s="93"/>
      <c r="D101" s="93"/>
      <c r="E101" s="93"/>
      <c r="F101" s="93"/>
      <c r="G101" s="93"/>
      <c r="H101" s="93"/>
      <c r="I101" s="93"/>
      <c r="J101" s="93"/>
      <c r="K101" s="93"/>
      <c r="L101" s="93"/>
      <c r="M101" s="93"/>
    </row>
    <row r="102" spans="1:17" x14ac:dyDescent="0.25">
      <c r="A102" s="86"/>
      <c r="B102" s="86" t="e">
        <f>'ESP Leaching Bed'!C16*3.28&amp;" ft"</f>
        <v>#VALUE!</v>
      </c>
      <c r="C102" s="93"/>
      <c r="D102" s="93"/>
      <c r="E102" s="93"/>
      <c r="F102" s="93"/>
      <c r="G102" s="93"/>
      <c r="H102" s="93"/>
      <c r="I102" s="93"/>
      <c r="J102" s="93"/>
      <c r="K102" s="93"/>
      <c r="L102" s="93"/>
      <c r="M102" s="93"/>
    </row>
    <row r="103" spans="1:17" x14ac:dyDescent="0.25">
      <c r="A103" s="86"/>
      <c r="B103" s="86"/>
      <c r="C103" s="93"/>
      <c r="D103" s="93"/>
      <c r="E103" s="93"/>
      <c r="F103" s="93"/>
      <c r="G103" s="93"/>
      <c r="H103" s="93"/>
      <c r="I103" s="93"/>
      <c r="J103" s="93"/>
      <c r="K103" s="93"/>
      <c r="L103" s="93"/>
      <c r="M103" s="93"/>
    </row>
    <row r="104" spans="1:17" x14ac:dyDescent="0.25">
      <c r="C104" s="93"/>
      <c r="D104" s="93"/>
      <c r="E104" s="93"/>
      <c r="F104" s="93"/>
      <c r="G104" s="93"/>
      <c r="H104" s="93"/>
      <c r="I104" s="93"/>
      <c r="J104" s="93"/>
      <c r="K104" s="93"/>
      <c r="L104" s="93"/>
      <c r="M104" s="93"/>
    </row>
    <row r="105" spans="1:17" x14ac:dyDescent="0.25">
      <c r="C105" s="93"/>
      <c r="D105" s="93"/>
      <c r="E105" s="93"/>
      <c r="F105" s="93"/>
      <c r="G105" s="93"/>
      <c r="H105" s="93"/>
      <c r="I105" s="93"/>
      <c r="J105" s="93"/>
      <c r="K105" s="93"/>
      <c r="L105" s="93"/>
      <c r="M105" s="93"/>
    </row>
    <row r="107" spans="1:17" ht="31.5" customHeight="1" x14ac:dyDescent="0.25">
      <c r="A107" s="33" t="s">
        <v>91</v>
      </c>
      <c r="B107" s="88" t="s">
        <v>92</v>
      </c>
      <c r="C107" s="88"/>
      <c r="D107" s="88"/>
      <c r="E107" s="88"/>
      <c r="F107" s="88"/>
      <c r="G107" s="88"/>
      <c r="H107" s="88"/>
      <c r="I107" s="88"/>
      <c r="J107" s="88"/>
      <c r="K107" s="88"/>
      <c r="L107" s="88"/>
      <c r="M107" s="88"/>
      <c r="N107" s="88"/>
      <c r="O107" s="88"/>
    </row>
    <row r="123" spans="1:15" x14ac:dyDescent="0.25">
      <c r="A123" s="18"/>
      <c r="B123" s="82"/>
      <c r="C123" s="82"/>
      <c r="D123" s="82"/>
      <c r="E123" s="82"/>
      <c r="F123" s="82"/>
      <c r="G123" s="82"/>
      <c r="H123" s="82"/>
      <c r="I123" s="82"/>
      <c r="J123" s="82"/>
      <c r="K123" s="82"/>
      <c r="L123" s="82"/>
      <c r="M123" s="82"/>
      <c r="N123" s="82"/>
      <c r="O123" s="82"/>
    </row>
  </sheetData>
  <sheetProtection algorithmName="SHA-512" hashValue="pGmNFWrYZtDLa5Qsgw8JzIitmvdHg6pYfS6q9Pxr5loDcWYcqQ+uC3bmnqbclDvMZ5H+bPutIG2sJfW8mX+3dQ==" saltValue="Hiur7pzZjVFDDX4ElgzV8Q==" spinCount="100000" sheet="1" selectLockedCells="1"/>
  <protectedRanges>
    <protectedRange sqref="F27:H27" name="Plage1"/>
  </protectedRanges>
  <mergeCells count="99">
    <mergeCell ref="B12:C12"/>
    <mergeCell ref="D12:O12"/>
    <mergeCell ref="B13:C13"/>
    <mergeCell ref="D13:K13"/>
    <mergeCell ref="L13:M13"/>
    <mergeCell ref="N13:O13"/>
    <mergeCell ref="B15:E15"/>
    <mergeCell ref="F15:H15"/>
    <mergeCell ref="K15:O15"/>
    <mergeCell ref="B16:E16"/>
    <mergeCell ref="F16:H16"/>
    <mergeCell ref="L16:O16"/>
    <mergeCell ref="B17:E17"/>
    <mergeCell ref="F17:H17"/>
    <mergeCell ref="L17:O17"/>
    <mergeCell ref="B18:E18"/>
    <mergeCell ref="F18:H18"/>
    <mergeCell ref="L18:O18"/>
    <mergeCell ref="B19:E19"/>
    <mergeCell ref="F19:H19"/>
    <mergeCell ref="L19:O19"/>
    <mergeCell ref="B20:E20"/>
    <mergeCell ref="F20:H20"/>
    <mergeCell ref="L20:O20"/>
    <mergeCell ref="B21:E21"/>
    <mergeCell ref="F21:H21"/>
    <mergeCell ref="L21:O21"/>
    <mergeCell ref="B22:E22"/>
    <mergeCell ref="F22:H22"/>
    <mergeCell ref="L22:O22"/>
    <mergeCell ref="B23:E23"/>
    <mergeCell ref="F23:H23"/>
    <mergeCell ref="L23:O23"/>
    <mergeCell ref="B24:E24"/>
    <mergeCell ref="F24:H24"/>
    <mergeCell ref="L24:O24"/>
    <mergeCell ref="B25:E25"/>
    <mergeCell ref="F25:H25"/>
    <mergeCell ref="L25:O25"/>
    <mergeCell ref="B26:E26"/>
    <mergeCell ref="F26:H26"/>
    <mergeCell ref="L26:O26"/>
    <mergeCell ref="B27:E27"/>
    <mergeCell ref="F27:H27"/>
    <mergeCell ref="L27:O27"/>
    <mergeCell ref="L28:O28"/>
    <mergeCell ref="L29:O29"/>
    <mergeCell ref="L35:M36"/>
    <mergeCell ref="N37:N38"/>
    <mergeCell ref="O37:O38"/>
    <mergeCell ref="A39:A42"/>
    <mergeCell ref="B39:B40"/>
    <mergeCell ref="B41:B42"/>
    <mergeCell ref="C35:C36"/>
    <mergeCell ref="D35:E36"/>
    <mergeCell ref="G35:G36"/>
    <mergeCell ref="H35:I36"/>
    <mergeCell ref="K35:K36"/>
    <mergeCell ref="A45:A48"/>
    <mergeCell ref="B45:B46"/>
    <mergeCell ref="N45:N48"/>
    <mergeCell ref="O45:O46"/>
    <mergeCell ref="B47:B48"/>
    <mergeCell ref="O47:O48"/>
    <mergeCell ref="N50:N53"/>
    <mergeCell ref="O50:O51"/>
    <mergeCell ref="O52:O53"/>
    <mergeCell ref="A53:A56"/>
    <mergeCell ref="B53:B54"/>
    <mergeCell ref="B55:B56"/>
    <mergeCell ref="N55:N58"/>
    <mergeCell ref="O55:O56"/>
    <mergeCell ref="O57:O58"/>
    <mergeCell ref="A58:A61"/>
    <mergeCell ref="B58:B59"/>
    <mergeCell ref="B60:B61"/>
    <mergeCell ref="G63:G64"/>
    <mergeCell ref="H63:J64"/>
    <mergeCell ref="B74:B75"/>
    <mergeCell ref="C74:D75"/>
    <mergeCell ref="F74:F75"/>
    <mergeCell ref="G74:H75"/>
    <mergeCell ref="J74:J75"/>
    <mergeCell ref="A94:A97"/>
    <mergeCell ref="B94:B95"/>
    <mergeCell ref="B96:B97"/>
    <mergeCell ref="N96:N99"/>
    <mergeCell ref="O96:O97"/>
    <mergeCell ref="K74:L75"/>
    <mergeCell ref="C76:M105"/>
    <mergeCell ref="N77:N80"/>
    <mergeCell ref="O77:O78"/>
    <mergeCell ref="O79:O80"/>
    <mergeCell ref="O98:O99"/>
    <mergeCell ref="A100:A103"/>
    <mergeCell ref="B100:B101"/>
    <mergeCell ref="B102:B103"/>
    <mergeCell ref="B107:O107"/>
    <mergeCell ref="B123:O123"/>
  </mergeCells>
  <dataValidations count="1">
    <dataValidation type="list" allowBlank="1" showInputMessage="1" showErrorMessage="1" sqref="F27:H27" xr:uid="{9EDC89A4-FA9E-48BA-86CB-38A1E51DED01}">
      <formula1>"Yes,No"</formula1>
    </dataValidation>
  </dataValidations>
  <printOptions horizontalCentered="1"/>
  <pageMargins left="0.23622047244094491" right="0.23622047244094491" top="0.74803149606299213" bottom="0.74803149606299213" header="0.31496062992125984" footer="0.31496062992125984"/>
  <pageSetup scale="70" fitToHeight="0" orientation="landscape" horizontalDpi="1200" verticalDpi="1200" r:id="rId1"/>
  <headerFooter alignWithMargins="0">
    <oddFooter>&amp;R&amp;14&amp;P/&amp;N</oddFooter>
  </headerFooter>
  <rowBreaks count="2" manualBreakCount="2">
    <brk id="31" max="14" man="1"/>
    <brk id="6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2AFA-B46D-4331-B889-2BE536A288A9}">
  <dimension ref="A1:G24"/>
  <sheetViews>
    <sheetView workbookViewId="0">
      <selection activeCell="G13" sqref="G13"/>
    </sheetView>
  </sheetViews>
  <sheetFormatPr defaultColWidth="11.44140625" defaultRowHeight="13.2" x14ac:dyDescent="0.25"/>
  <cols>
    <col min="1" max="4" width="11.44140625" style="53"/>
    <col min="5" max="5" width="15" style="53" customWidth="1"/>
    <col min="6" max="6" width="11.44140625" style="53"/>
    <col min="7" max="7" width="17.109375" style="53" customWidth="1"/>
    <col min="8" max="16384" width="11.44140625" style="53"/>
  </cols>
  <sheetData>
    <row r="1" spans="1:7" ht="22.2" x14ac:dyDescent="0.45">
      <c r="A1" s="139" t="s">
        <v>168</v>
      </c>
      <c r="B1" s="139"/>
      <c r="C1" s="139"/>
      <c r="D1" s="139"/>
      <c r="E1" s="139"/>
      <c r="F1" s="139"/>
      <c r="G1" s="139"/>
    </row>
    <row r="2" spans="1:7" ht="17.399999999999999" x14ac:dyDescent="0.35">
      <c r="A2" s="140" t="s">
        <v>169</v>
      </c>
      <c r="B2" s="140"/>
      <c r="C2" s="140"/>
      <c r="D2" s="140"/>
      <c r="E2" s="141">
        <f>'ESP Leaching Bed'!C22</f>
        <v>0</v>
      </c>
      <c r="F2" s="141"/>
      <c r="G2" s="141"/>
    </row>
    <row r="3" spans="1:7" ht="17.399999999999999" x14ac:dyDescent="0.35">
      <c r="A3" s="140" t="s">
        <v>170</v>
      </c>
      <c r="B3" s="140"/>
      <c r="C3" s="140"/>
      <c r="D3" s="140"/>
      <c r="E3" s="141">
        <f>'ESP Leaching Bed'!C23</f>
        <v>0</v>
      </c>
      <c r="F3" s="141"/>
      <c r="G3" s="141"/>
    </row>
    <row r="4" spans="1:7" ht="17.399999999999999" x14ac:dyDescent="0.35">
      <c r="A4" s="140" t="s">
        <v>171</v>
      </c>
      <c r="B4" s="140"/>
      <c r="C4" s="140"/>
      <c r="D4" s="140"/>
      <c r="E4" s="141">
        <f>'ESP Leaching Bed'!C27</f>
        <v>0</v>
      </c>
      <c r="F4" s="141"/>
      <c r="G4" s="141"/>
    </row>
    <row r="5" spans="1:7" ht="18" thickBot="1" x14ac:dyDescent="0.4">
      <c r="A5" s="142" t="s">
        <v>1</v>
      </c>
      <c r="B5" s="142"/>
      <c r="C5" s="142"/>
      <c r="D5" s="142"/>
      <c r="E5" s="142"/>
    </row>
    <row r="6" spans="1:7" x14ac:dyDescent="0.25">
      <c r="A6" s="131" t="s">
        <v>172</v>
      </c>
      <c r="B6" s="133" t="s">
        <v>173</v>
      </c>
      <c r="C6" s="133"/>
      <c r="D6" s="133"/>
      <c r="E6" s="134"/>
    </row>
    <row r="7" spans="1:7" ht="13.8" thickBot="1" x14ac:dyDescent="0.3">
      <c r="A7" s="132"/>
      <c r="B7" s="135"/>
      <c r="C7" s="135"/>
      <c r="D7" s="135"/>
      <c r="E7" s="136"/>
    </row>
    <row r="8" spans="1:7" ht="17.399999999999999" x14ac:dyDescent="0.25">
      <c r="A8" s="55"/>
      <c r="B8" s="56"/>
      <c r="C8" s="56"/>
      <c r="D8" s="56"/>
      <c r="E8" s="57"/>
    </row>
    <row r="9" spans="1:7" ht="17.399999999999999" x14ac:dyDescent="0.25">
      <c r="A9" s="72">
        <f>E2*E3*10</f>
        <v>0</v>
      </c>
      <c r="B9" s="137" t="s">
        <v>174</v>
      </c>
      <c r="C9" s="137"/>
      <c r="D9" s="137"/>
      <c r="E9" s="138"/>
    </row>
    <row r="10" spans="1:7" ht="17.399999999999999" x14ac:dyDescent="0.25">
      <c r="A10" s="55"/>
      <c r="B10" s="56"/>
      <c r="C10" s="56"/>
      <c r="D10" s="56"/>
      <c r="E10" s="57"/>
    </row>
    <row r="11" spans="1:7" ht="17.399999999999999" x14ac:dyDescent="0.25">
      <c r="A11" s="72">
        <f>(E2)*((ROUNDUP(E3,0))-1)</f>
        <v>0</v>
      </c>
      <c r="B11" s="137" t="s">
        <v>175</v>
      </c>
      <c r="C11" s="137"/>
      <c r="D11" s="137"/>
      <c r="E11" s="138"/>
    </row>
    <row r="12" spans="1:7" ht="17.399999999999999" x14ac:dyDescent="0.25">
      <c r="A12" s="55"/>
      <c r="B12" s="56"/>
      <c r="C12" s="56"/>
      <c r="D12" s="56"/>
      <c r="E12" s="57"/>
    </row>
    <row r="13" spans="1:7" ht="17.399999999999999" x14ac:dyDescent="0.25">
      <c r="A13" s="72">
        <f>E2</f>
        <v>0</v>
      </c>
      <c r="B13" s="137" t="s">
        <v>176</v>
      </c>
      <c r="C13" s="137"/>
      <c r="D13" s="137"/>
      <c r="E13" s="138"/>
    </row>
    <row r="14" spans="1:7" ht="17.399999999999999" x14ac:dyDescent="0.25">
      <c r="A14" s="55"/>
      <c r="B14" s="56"/>
      <c r="C14" s="56"/>
      <c r="D14" s="56"/>
      <c r="E14" s="57"/>
    </row>
    <row r="15" spans="1:7" ht="17.399999999999999" x14ac:dyDescent="0.25">
      <c r="A15" s="72">
        <f>A13</f>
        <v>0</v>
      </c>
      <c r="B15" s="137" t="s">
        <v>177</v>
      </c>
      <c r="C15" s="137"/>
      <c r="D15" s="137"/>
      <c r="E15" s="138"/>
    </row>
    <row r="16" spans="1:7" ht="17.399999999999999" x14ac:dyDescent="0.25">
      <c r="A16" s="55"/>
      <c r="B16" s="56"/>
      <c r="C16" s="56"/>
      <c r="D16" s="56"/>
      <c r="E16" s="57"/>
    </row>
    <row r="17" spans="1:5" ht="17.399999999999999" x14ac:dyDescent="0.25">
      <c r="A17" s="72">
        <f>E2</f>
        <v>0</v>
      </c>
      <c r="B17" s="137" t="s">
        <v>178</v>
      </c>
      <c r="C17" s="137"/>
      <c r="D17" s="137"/>
      <c r="E17" s="138"/>
    </row>
    <row r="18" spans="1:5" ht="17.399999999999999" x14ac:dyDescent="0.25">
      <c r="A18" s="55"/>
      <c r="B18" s="56"/>
      <c r="C18" s="56"/>
      <c r="D18" s="56"/>
      <c r="E18" s="57"/>
    </row>
    <row r="19" spans="1:5" ht="17.399999999999999" x14ac:dyDescent="0.25">
      <c r="A19" s="72">
        <f>E4</f>
        <v>0</v>
      </c>
      <c r="B19" s="137" t="s">
        <v>179</v>
      </c>
      <c r="C19" s="137"/>
      <c r="D19" s="137"/>
      <c r="E19" s="138"/>
    </row>
    <row r="20" spans="1:5" ht="17.399999999999999" x14ac:dyDescent="0.25">
      <c r="A20" s="55"/>
      <c r="B20" s="58"/>
      <c r="C20" s="58"/>
      <c r="D20" s="58"/>
      <c r="E20" s="59"/>
    </row>
    <row r="21" spans="1:5" ht="17.399999999999999" x14ac:dyDescent="0.25">
      <c r="A21" s="72">
        <f>E2</f>
        <v>0</v>
      </c>
      <c r="B21" s="137" t="s">
        <v>180</v>
      </c>
      <c r="C21" s="137"/>
      <c r="D21" s="137"/>
      <c r="E21" s="138"/>
    </row>
    <row r="22" spans="1:5" ht="17.399999999999999" x14ac:dyDescent="0.25">
      <c r="A22" s="55"/>
      <c r="B22" s="56"/>
      <c r="C22" s="56"/>
      <c r="D22" s="56"/>
      <c r="E22" s="57"/>
    </row>
    <row r="23" spans="1:5" ht="18" thickBot="1" x14ac:dyDescent="0.3">
      <c r="A23" s="73">
        <f>E4</f>
        <v>0</v>
      </c>
      <c r="B23" s="144" t="s">
        <v>181</v>
      </c>
      <c r="C23" s="144"/>
      <c r="D23" s="144"/>
      <c r="E23" s="145"/>
    </row>
    <row r="24" spans="1:5" ht="17.399999999999999" x14ac:dyDescent="0.35">
      <c r="A24" s="54"/>
      <c r="B24" s="143"/>
      <c r="C24" s="143"/>
      <c r="D24" s="143"/>
      <c r="E24" s="143"/>
    </row>
  </sheetData>
  <mergeCells count="19">
    <mergeCell ref="B24:E24"/>
    <mergeCell ref="B13:E13"/>
    <mergeCell ref="B15:E15"/>
    <mergeCell ref="B17:E17"/>
    <mergeCell ref="B19:E19"/>
    <mergeCell ref="B21:E21"/>
    <mergeCell ref="B23:E23"/>
    <mergeCell ref="A6:A7"/>
    <mergeCell ref="B6:E7"/>
    <mergeCell ref="B9:E9"/>
    <mergeCell ref="B11:E11"/>
    <mergeCell ref="A1:G1"/>
    <mergeCell ref="A2:D2"/>
    <mergeCell ref="E2:G2"/>
    <mergeCell ref="A3:D3"/>
    <mergeCell ref="E3:G3"/>
    <mergeCell ref="A4:D4"/>
    <mergeCell ref="E4:G4"/>
    <mergeCell ref="A5:E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1"/>
  <sheetViews>
    <sheetView workbookViewId="0">
      <selection activeCell="B29" sqref="B29"/>
    </sheetView>
  </sheetViews>
  <sheetFormatPr defaultColWidth="11.44140625" defaultRowHeight="13.2" x14ac:dyDescent="0.25"/>
  <sheetData>
    <row r="1" spans="1:13" x14ac:dyDescent="0.25">
      <c r="A1" t="s">
        <v>182</v>
      </c>
    </row>
    <row r="5" spans="1:13" x14ac:dyDescent="0.25">
      <c r="A5" t="s">
        <v>183</v>
      </c>
      <c r="H5" t="s">
        <v>184</v>
      </c>
    </row>
    <row r="7" spans="1:13" x14ac:dyDescent="0.25">
      <c r="A7" t="s">
        <v>185</v>
      </c>
    </row>
    <row r="9" spans="1:13" x14ac:dyDescent="0.25">
      <c r="A9" t="s">
        <v>186</v>
      </c>
    </row>
    <row r="10" spans="1:13" x14ac:dyDescent="0.25">
      <c r="A10" t="s">
        <v>187</v>
      </c>
    </row>
    <row r="11" spans="1:13" x14ac:dyDescent="0.25">
      <c r="A11" t="s">
        <v>188</v>
      </c>
    </row>
    <row r="13" spans="1:13" x14ac:dyDescent="0.25">
      <c r="A13" s="44" t="s">
        <v>189</v>
      </c>
      <c r="B13" t="e">
        <f>'ESP Leaching Bed'!C22/'ESP Leaching Bed'!C27</f>
        <v>#DIV/0!</v>
      </c>
      <c r="H13" s="44" t="s">
        <v>189</v>
      </c>
      <c r="I13" t="e">
        <f>('ESP Leaching Bed'!C22/'ESP Leaching Bed'!C27)+0.5</f>
        <v>#DIV/0!</v>
      </c>
    </row>
    <row r="14" spans="1:13" x14ac:dyDescent="0.25">
      <c r="A14" s="44" t="s">
        <v>190</v>
      </c>
      <c r="B14" t="e">
        <f>('ESP Leaching Bed'!C23*3.05*B13)-(0.3*B13)</f>
        <v>#DIV/0!</v>
      </c>
      <c r="H14" s="44" t="s">
        <v>190</v>
      </c>
      <c r="I14" t="e">
        <f>(('ESP Leaching Bed'!C22/'ESP Leaching Bed'!C27)*'ESP Leaching Bed'!C23*3.05)+(('ESP Leaching Bed'!C23*3.05)/2)-(0.3*('ESP Leaching Bed'!C22/'ESP Leaching Bed'!C27))-0.15</f>
        <v>#DIV/0!</v>
      </c>
    </row>
    <row r="15" spans="1:13" x14ac:dyDescent="0.25">
      <c r="A15" s="44" t="s">
        <v>191</v>
      </c>
      <c r="B15" t="e">
        <f>-'ESP Leaching Bed'!C21/'ESP Leaching Bed'!C27</f>
        <v>#DIV/0!</v>
      </c>
      <c r="H15" s="44" t="s">
        <v>191</v>
      </c>
      <c r="I15" t="e">
        <f>-'ESP Leaching Bed'!C21/'ESP Leaching Bed'!C27</f>
        <v>#DIV/0!</v>
      </c>
    </row>
    <row r="16" spans="1:13" x14ac:dyDescent="0.25">
      <c r="B16" t="s">
        <v>192</v>
      </c>
      <c r="C16" t="s">
        <v>193</v>
      </c>
      <c r="D16" t="s">
        <v>194</v>
      </c>
      <c r="E16" t="s">
        <v>195</v>
      </c>
      <c r="I16" t="s">
        <v>192</v>
      </c>
      <c r="J16" s="62" t="s">
        <v>196</v>
      </c>
      <c r="K16" t="s">
        <v>194</v>
      </c>
      <c r="L16" t="s">
        <v>195</v>
      </c>
      <c r="M16" s="62" t="s">
        <v>197</v>
      </c>
    </row>
    <row r="17" spans="1:13" x14ac:dyDescent="0.25">
      <c r="A17" s="44" t="s">
        <v>198</v>
      </c>
      <c r="B17" s="51" t="e">
        <f>ROUNDUP($B$33,1)</f>
        <v>#DIV/0!</v>
      </c>
      <c r="C17" t="e">
        <f>B17/2</f>
        <v>#DIV/0!</v>
      </c>
      <c r="D17" t="e">
        <f>(B17/2)-0.15</f>
        <v>#DIV/0!</v>
      </c>
      <c r="H17" s="44" t="s">
        <v>198</v>
      </c>
      <c r="I17" s="51" t="e">
        <f>ROUNDUP($B$33,1)</f>
        <v>#DIV/0!</v>
      </c>
      <c r="J17" t="e">
        <f>I17/2</f>
        <v>#DIV/0!</v>
      </c>
      <c r="K17" t="e">
        <f>(I17/2)-0.15</f>
        <v>#DIV/0!</v>
      </c>
      <c r="L17" s="51" t="e">
        <f>I17</f>
        <v>#DIV/0!</v>
      </c>
      <c r="M17" t="e">
        <f>((('ESP Leaching Bed'!C$22/'ESP Leaching Bed'!C$27)-1)*I17)+J17+L17</f>
        <v>#DIV/0!</v>
      </c>
    </row>
    <row r="18" spans="1:13" x14ac:dyDescent="0.25">
      <c r="A18" s="44" t="s">
        <v>199</v>
      </c>
      <c r="B18" t="e">
        <f>IF(B17&lt;0.45,0.45,B17)</f>
        <v>#DIV/0!</v>
      </c>
      <c r="C18" t="e">
        <f>IF(C17&lt;0.45,0.45,C17)</f>
        <v>#DIV/0!</v>
      </c>
      <c r="D18" t="e">
        <f>IF(D17&lt;0.3,0.3,D17)</f>
        <v>#DIV/0!</v>
      </c>
      <c r="H18" s="44" t="s">
        <v>200</v>
      </c>
      <c r="I18" s="50" t="e">
        <f>ROUNDUP(((M17-J18)/('ESP Leaching Bed'!C22/'ESP Leaching Bed'!C27)),2)</f>
        <v>#DIV/0!</v>
      </c>
      <c r="J18" t="e">
        <f>IF(I17&gt;2.4,1.2,IF(I17&lt;0.9,0.45,I17/2))</f>
        <v>#DIV/0!</v>
      </c>
      <c r="K18" t="e">
        <f>K17</f>
        <v>#DIV/0!</v>
      </c>
      <c r="L18" s="50" t="e">
        <f>I18</f>
        <v>#DIV/0!</v>
      </c>
      <c r="M18" t="e">
        <f>((('ESP Leaching Bed'!C$22/'ESP Leaching Bed'!C$27)-1)*I18)+J18+L18</f>
        <v>#DIV/0!</v>
      </c>
    </row>
    <row r="19" spans="1:13" x14ac:dyDescent="0.25">
      <c r="A19" s="44"/>
      <c r="H19" s="44"/>
    </row>
    <row r="20" spans="1:13" x14ac:dyDescent="0.25">
      <c r="A20" s="44"/>
      <c r="B20" t="s">
        <v>192</v>
      </c>
      <c r="C20" t="s">
        <v>193</v>
      </c>
      <c r="D20" t="s">
        <v>194</v>
      </c>
      <c r="E20" t="s">
        <v>195</v>
      </c>
      <c r="H20" s="44" t="s">
        <v>199</v>
      </c>
      <c r="I20" t="e">
        <f>IF(I18&lt;0.45,0.45,I18)</f>
        <v>#DIV/0!</v>
      </c>
      <c r="J20" t="e">
        <f>IF(J18&lt;0.45,0.45,J18)</f>
        <v>#DIV/0!</v>
      </c>
      <c r="K20" t="e">
        <f>IF(K18&lt;0.3,0.3,K18)</f>
        <v>#DIV/0!</v>
      </c>
      <c r="L20" t="e">
        <f>I20</f>
        <v>#DIV/0!</v>
      </c>
    </row>
    <row r="21" spans="1:13" x14ac:dyDescent="0.25">
      <c r="A21" s="81" t="s">
        <v>201</v>
      </c>
      <c r="B21" t="e">
        <f>IF('ESP Leaching Bed'!$C$15&gt;3,I20,B18)</f>
        <v>#DIV/0!</v>
      </c>
      <c r="C21" t="e">
        <f>IF('ESP Leaching Bed'!$C$15&gt;3,J20,C18)</f>
        <v>#DIV/0!</v>
      </c>
      <c r="D21" t="e">
        <f>IF('ESP Leaching Bed'!$C$15&gt;3,K20,D18)</f>
        <v>#DIV/0!</v>
      </c>
      <c r="E21">
        <f>IF('ESP Leaching Bed'!$C$15&gt;3,L20,E18)</f>
        <v>0</v>
      </c>
      <c r="H21" s="44"/>
    </row>
    <row r="22" spans="1:13" x14ac:dyDescent="0.25">
      <c r="A22" s="44"/>
      <c r="H22" s="44"/>
    </row>
    <row r="25" spans="1:13" x14ac:dyDescent="0.25">
      <c r="A25" t="s">
        <v>202</v>
      </c>
    </row>
    <row r="26" spans="1:13" x14ac:dyDescent="0.25">
      <c r="A26" t="s">
        <v>203</v>
      </c>
    </row>
    <row r="27" spans="1:13" x14ac:dyDescent="0.25">
      <c r="A27" s="44" t="s">
        <v>204</v>
      </c>
      <c r="B27" s="47" t="e">
        <f>IF('ESP Leaching Bed'!C$15&gt;3,'Estimation Espacement'!I13,'Estimation Espacement'!B13)</f>
        <v>#DIV/0!</v>
      </c>
    </row>
    <row r="28" spans="1:13" x14ac:dyDescent="0.25">
      <c r="A28" s="44" t="s">
        <v>205</v>
      </c>
      <c r="B28" s="47" t="e">
        <f>IF('ESP Leaching Bed'!C$15&gt;3,'Estimation Espacement'!I14,'Estimation Espacement'!B14)</f>
        <v>#DIV/0!</v>
      </c>
    </row>
    <row r="29" spans="1:13" x14ac:dyDescent="0.25">
      <c r="A29" s="44" t="s">
        <v>206</v>
      </c>
      <c r="B29" s="47" t="e">
        <f>IF('ESP Leaching Bed'!C$15&gt;3,'Estimation Espacement'!I15,'Estimation Espacement'!B15)</f>
        <v>#DIV/0!</v>
      </c>
    </row>
    <row r="31" spans="1:13" x14ac:dyDescent="0.25">
      <c r="A31" s="46" t="s">
        <v>207</v>
      </c>
      <c r="B31" t="e">
        <f>(B28^2-4*B27*B29)^0.5</f>
        <v>#DIV/0!</v>
      </c>
    </row>
    <row r="32" spans="1:13" x14ac:dyDescent="0.25">
      <c r="A32" s="45" t="s">
        <v>208</v>
      </c>
      <c r="C32" t="s">
        <v>209</v>
      </c>
      <c r="D32" t="s">
        <v>210</v>
      </c>
    </row>
    <row r="33" spans="1:4" x14ac:dyDescent="0.25">
      <c r="A33" s="44" t="s">
        <v>211</v>
      </c>
      <c r="B33" t="e">
        <f>(-1*B28+B31)/(2*B27)</f>
        <v>#DIV/0!</v>
      </c>
      <c r="C33" t="e">
        <f>1/(1/40+1/B33)</f>
        <v>#DIV/0!</v>
      </c>
      <c r="D33" t="e">
        <f>1/(0.225-1/C33)</f>
        <v>#DIV/0!</v>
      </c>
    </row>
    <row r="34" spans="1:4" x14ac:dyDescent="0.25">
      <c r="A34" s="44" t="s">
        <v>212</v>
      </c>
      <c r="B34">
        <v>26</v>
      </c>
      <c r="C34">
        <f>1/(1/40+1/B34)</f>
        <v>15.757575757575758</v>
      </c>
      <c r="D34">
        <f>1/(0.225-1/C34)</f>
        <v>6.1904761904761898</v>
      </c>
    </row>
    <row r="35" spans="1:4" x14ac:dyDescent="0.25">
      <c r="A35" s="44" t="s">
        <v>213</v>
      </c>
      <c r="B35" s="42" t="s">
        <v>214</v>
      </c>
      <c r="C35" s="42" t="s">
        <v>215</v>
      </c>
    </row>
    <row r="36" spans="1:4" x14ac:dyDescent="0.25">
      <c r="A36" s="44"/>
      <c r="B36" t="e">
        <f>-B28/(2*B27)</f>
        <v>#DIV/0!</v>
      </c>
      <c r="C36" t="e">
        <f>B$27*B36^2+B$28*B36+B$29</f>
        <v>#DIV/0!</v>
      </c>
    </row>
    <row r="37" spans="1:4" x14ac:dyDescent="0.25">
      <c r="A37" s="44"/>
    </row>
    <row r="38" spans="1:4" x14ac:dyDescent="0.25">
      <c r="A38" s="146"/>
      <c r="B38" s="146"/>
      <c r="C38" s="146"/>
      <c r="D38" s="43" t="e">
        <f>(B34-B33)/100</f>
        <v>#DIV/0!</v>
      </c>
    </row>
    <row r="39" spans="1:4" x14ac:dyDescent="0.25">
      <c r="A39" t="s">
        <v>216</v>
      </c>
    </row>
    <row r="40" spans="1:4" x14ac:dyDescent="0.25">
      <c r="B40" s="42" t="s">
        <v>214</v>
      </c>
      <c r="C40" s="42" t="s">
        <v>215</v>
      </c>
    </row>
    <row r="41" spans="1:4" x14ac:dyDescent="0.25">
      <c r="B41" t="e">
        <f>B33-20*D38</f>
        <v>#DIV/0!</v>
      </c>
      <c r="C41" t="e">
        <f t="shared" ref="C41:C72" si="0">B$27*B41^2+B$28*B41+B$29</f>
        <v>#DIV/0!</v>
      </c>
    </row>
    <row r="42" spans="1:4" x14ac:dyDescent="0.25">
      <c r="B42" t="e">
        <f t="shared" ref="B42:B73" si="1">B41+D$38</f>
        <v>#DIV/0!</v>
      </c>
      <c r="C42" t="e">
        <f t="shared" si="0"/>
        <v>#DIV/0!</v>
      </c>
    </row>
    <row r="43" spans="1:4" x14ac:dyDescent="0.25">
      <c r="B43" t="e">
        <f t="shared" si="1"/>
        <v>#DIV/0!</v>
      </c>
      <c r="C43" t="e">
        <f t="shared" si="0"/>
        <v>#DIV/0!</v>
      </c>
    </row>
    <row r="44" spans="1:4" x14ac:dyDescent="0.25">
      <c r="B44" t="e">
        <f t="shared" si="1"/>
        <v>#DIV/0!</v>
      </c>
      <c r="C44" t="e">
        <f t="shared" si="0"/>
        <v>#DIV/0!</v>
      </c>
    </row>
    <row r="45" spans="1:4" x14ac:dyDescent="0.25">
      <c r="B45" t="e">
        <f t="shared" si="1"/>
        <v>#DIV/0!</v>
      </c>
      <c r="C45" t="e">
        <f t="shared" si="0"/>
        <v>#DIV/0!</v>
      </c>
    </row>
    <row r="46" spans="1:4" x14ac:dyDescent="0.25">
      <c r="B46" t="e">
        <f t="shared" si="1"/>
        <v>#DIV/0!</v>
      </c>
      <c r="C46" t="e">
        <f t="shared" si="0"/>
        <v>#DIV/0!</v>
      </c>
    </row>
    <row r="47" spans="1:4" x14ac:dyDescent="0.25">
      <c r="B47" t="e">
        <f t="shared" si="1"/>
        <v>#DIV/0!</v>
      </c>
      <c r="C47" t="e">
        <f t="shared" si="0"/>
        <v>#DIV/0!</v>
      </c>
    </row>
    <row r="48" spans="1:4" x14ac:dyDescent="0.25">
      <c r="B48" t="e">
        <f t="shared" si="1"/>
        <v>#DIV/0!</v>
      </c>
      <c r="C48" t="e">
        <f t="shared" si="0"/>
        <v>#DIV/0!</v>
      </c>
    </row>
    <row r="49" spans="2:3" x14ac:dyDescent="0.25">
      <c r="B49" t="e">
        <f t="shared" si="1"/>
        <v>#DIV/0!</v>
      </c>
      <c r="C49" t="e">
        <f t="shared" si="0"/>
        <v>#DIV/0!</v>
      </c>
    </row>
    <row r="50" spans="2:3" x14ac:dyDescent="0.25">
      <c r="B50" t="e">
        <f t="shared" si="1"/>
        <v>#DIV/0!</v>
      </c>
      <c r="C50" t="e">
        <f t="shared" si="0"/>
        <v>#DIV/0!</v>
      </c>
    </row>
    <row r="51" spans="2:3" x14ac:dyDescent="0.25">
      <c r="B51" t="e">
        <f t="shared" si="1"/>
        <v>#DIV/0!</v>
      </c>
      <c r="C51" t="e">
        <f t="shared" si="0"/>
        <v>#DIV/0!</v>
      </c>
    </row>
    <row r="52" spans="2:3" x14ac:dyDescent="0.25">
      <c r="B52" t="e">
        <f t="shared" si="1"/>
        <v>#DIV/0!</v>
      </c>
      <c r="C52" t="e">
        <f t="shared" si="0"/>
        <v>#DIV/0!</v>
      </c>
    </row>
    <row r="53" spans="2:3" x14ac:dyDescent="0.25">
      <c r="B53" t="e">
        <f t="shared" si="1"/>
        <v>#DIV/0!</v>
      </c>
      <c r="C53" t="e">
        <f t="shared" si="0"/>
        <v>#DIV/0!</v>
      </c>
    </row>
    <row r="54" spans="2:3" x14ac:dyDescent="0.25">
      <c r="B54" t="e">
        <f t="shared" si="1"/>
        <v>#DIV/0!</v>
      </c>
      <c r="C54" t="e">
        <f t="shared" si="0"/>
        <v>#DIV/0!</v>
      </c>
    </row>
    <row r="55" spans="2:3" x14ac:dyDescent="0.25">
      <c r="B55" t="e">
        <f t="shared" si="1"/>
        <v>#DIV/0!</v>
      </c>
      <c r="C55" t="e">
        <f t="shared" si="0"/>
        <v>#DIV/0!</v>
      </c>
    </row>
    <row r="56" spans="2:3" x14ac:dyDescent="0.25">
      <c r="B56" t="e">
        <f t="shared" si="1"/>
        <v>#DIV/0!</v>
      </c>
      <c r="C56" t="e">
        <f t="shared" si="0"/>
        <v>#DIV/0!</v>
      </c>
    </row>
    <row r="57" spans="2:3" x14ac:dyDescent="0.25">
      <c r="B57" t="e">
        <f t="shared" si="1"/>
        <v>#DIV/0!</v>
      </c>
      <c r="C57" t="e">
        <f t="shared" si="0"/>
        <v>#DIV/0!</v>
      </c>
    </row>
    <row r="58" spans="2:3" x14ac:dyDescent="0.25">
      <c r="B58" t="e">
        <f t="shared" si="1"/>
        <v>#DIV/0!</v>
      </c>
      <c r="C58" t="e">
        <f t="shared" si="0"/>
        <v>#DIV/0!</v>
      </c>
    </row>
    <row r="59" spans="2:3" x14ac:dyDescent="0.25">
      <c r="B59" t="e">
        <f t="shared" si="1"/>
        <v>#DIV/0!</v>
      </c>
      <c r="C59" t="e">
        <f t="shared" si="0"/>
        <v>#DIV/0!</v>
      </c>
    </row>
    <row r="60" spans="2:3" x14ac:dyDescent="0.25">
      <c r="B60" t="e">
        <f t="shared" si="1"/>
        <v>#DIV/0!</v>
      </c>
      <c r="C60" t="e">
        <f t="shared" si="0"/>
        <v>#DIV/0!</v>
      </c>
    </row>
    <row r="61" spans="2:3" x14ac:dyDescent="0.25">
      <c r="B61" t="e">
        <f t="shared" si="1"/>
        <v>#DIV/0!</v>
      </c>
      <c r="C61" t="e">
        <f t="shared" si="0"/>
        <v>#DIV/0!</v>
      </c>
    </row>
    <row r="62" spans="2:3" x14ac:dyDescent="0.25">
      <c r="B62" t="e">
        <f t="shared" si="1"/>
        <v>#DIV/0!</v>
      </c>
      <c r="C62" t="e">
        <f t="shared" si="0"/>
        <v>#DIV/0!</v>
      </c>
    </row>
    <row r="63" spans="2:3" x14ac:dyDescent="0.25">
      <c r="B63" t="e">
        <f t="shared" si="1"/>
        <v>#DIV/0!</v>
      </c>
      <c r="C63" t="e">
        <f t="shared" si="0"/>
        <v>#DIV/0!</v>
      </c>
    </row>
    <row r="64" spans="2:3" x14ac:dyDescent="0.25">
      <c r="B64" t="e">
        <f t="shared" si="1"/>
        <v>#DIV/0!</v>
      </c>
      <c r="C64" t="e">
        <f t="shared" si="0"/>
        <v>#DIV/0!</v>
      </c>
    </row>
    <row r="65" spans="2:3" x14ac:dyDescent="0.25">
      <c r="B65" t="e">
        <f t="shared" si="1"/>
        <v>#DIV/0!</v>
      </c>
      <c r="C65" t="e">
        <f t="shared" si="0"/>
        <v>#DIV/0!</v>
      </c>
    </row>
    <row r="66" spans="2:3" x14ac:dyDescent="0.25">
      <c r="B66" t="e">
        <f t="shared" si="1"/>
        <v>#DIV/0!</v>
      </c>
      <c r="C66" t="e">
        <f t="shared" si="0"/>
        <v>#DIV/0!</v>
      </c>
    </row>
    <row r="67" spans="2:3" x14ac:dyDescent="0.25">
      <c r="B67" t="e">
        <f t="shared" si="1"/>
        <v>#DIV/0!</v>
      </c>
      <c r="C67" t="e">
        <f t="shared" si="0"/>
        <v>#DIV/0!</v>
      </c>
    </row>
    <row r="68" spans="2:3" x14ac:dyDescent="0.25">
      <c r="B68" t="e">
        <f t="shared" si="1"/>
        <v>#DIV/0!</v>
      </c>
      <c r="C68" t="e">
        <f t="shared" si="0"/>
        <v>#DIV/0!</v>
      </c>
    </row>
    <row r="69" spans="2:3" x14ac:dyDescent="0.25">
      <c r="B69" t="e">
        <f t="shared" si="1"/>
        <v>#DIV/0!</v>
      </c>
      <c r="C69" t="e">
        <f t="shared" si="0"/>
        <v>#DIV/0!</v>
      </c>
    </row>
    <row r="70" spans="2:3" x14ac:dyDescent="0.25">
      <c r="B70" t="e">
        <f t="shared" si="1"/>
        <v>#DIV/0!</v>
      </c>
      <c r="C70" t="e">
        <f t="shared" si="0"/>
        <v>#DIV/0!</v>
      </c>
    </row>
    <row r="71" spans="2:3" x14ac:dyDescent="0.25">
      <c r="B71" t="e">
        <f t="shared" si="1"/>
        <v>#DIV/0!</v>
      </c>
      <c r="C71" t="e">
        <f t="shared" si="0"/>
        <v>#DIV/0!</v>
      </c>
    </row>
    <row r="72" spans="2:3" x14ac:dyDescent="0.25">
      <c r="B72" t="e">
        <f t="shared" si="1"/>
        <v>#DIV/0!</v>
      </c>
      <c r="C72" t="e">
        <f t="shared" si="0"/>
        <v>#DIV/0!</v>
      </c>
    </row>
    <row r="73" spans="2:3" x14ac:dyDescent="0.25">
      <c r="B73" t="e">
        <f t="shared" si="1"/>
        <v>#DIV/0!</v>
      </c>
      <c r="C73" t="e">
        <f t="shared" ref="C73:C104" si="2">B$27*B73^2+B$28*B73+B$29</f>
        <v>#DIV/0!</v>
      </c>
    </row>
    <row r="74" spans="2:3" x14ac:dyDescent="0.25">
      <c r="B74" t="e">
        <f t="shared" ref="B74:B105" si="3">B73+D$38</f>
        <v>#DIV/0!</v>
      </c>
      <c r="C74" t="e">
        <f t="shared" si="2"/>
        <v>#DIV/0!</v>
      </c>
    </row>
    <row r="75" spans="2:3" x14ac:dyDescent="0.25">
      <c r="B75" t="e">
        <f t="shared" si="3"/>
        <v>#DIV/0!</v>
      </c>
      <c r="C75" t="e">
        <f t="shared" si="2"/>
        <v>#DIV/0!</v>
      </c>
    </row>
    <row r="76" spans="2:3" x14ac:dyDescent="0.25">
      <c r="B76" t="e">
        <f t="shared" si="3"/>
        <v>#DIV/0!</v>
      </c>
      <c r="C76" t="e">
        <f t="shared" si="2"/>
        <v>#DIV/0!</v>
      </c>
    </row>
    <row r="77" spans="2:3" x14ac:dyDescent="0.25">
      <c r="B77" t="e">
        <f t="shared" si="3"/>
        <v>#DIV/0!</v>
      </c>
      <c r="C77" t="e">
        <f t="shared" si="2"/>
        <v>#DIV/0!</v>
      </c>
    </row>
    <row r="78" spans="2:3" x14ac:dyDescent="0.25">
      <c r="B78" t="e">
        <f t="shared" si="3"/>
        <v>#DIV/0!</v>
      </c>
      <c r="C78" t="e">
        <f t="shared" si="2"/>
        <v>#DIV/0!</v>
      </c>
    </row>
    <row r="79" spans="2:3" x14ac:dyDescent="0.25">
      <c r="B79" t="e">
        <f t="shared" si="3"/>
        <v>#DIV/0!</v>
      </c>
      <c r="C79" t="e">
        <f t="shared" si="2"/>
        <v>#DIV/0!</v>
      </c>
    </row>
    <row r="80" spans="2:3" x14ac:dyDescent="0.25">
      <c r="B80" t="e">
        <f t="shared" si="3"/>
        <v>#DIV/0!</v>
      </c>
      <c r="C80" t="e">
        <f t="shared" si="2"/>
        <v>#DIV/0!</v>
      </c>
    </row>
    <row r="81" spans="2:3" x14ac:dyDescent="0.25">
      <c r="B81" t="e">
        <f t="shared" si="3"/>
        <v>#DIV/0!</v>
      </c>
      <c r="C81" t="e">
        <f t="shared" si="2"/>
        <v>#DIV/0!</v>
      </c>
    </row>
    <row r="82" spans="2:3" x14ac:dyDescent="0.25">
      <c r="B82" t="e">
        <f t="shared" si="3"/>
        <v>#DIV/0!</v>
      </c>
      <c r="C82" t="e">
        <f t="shared" si="2"/>
        <v>#DIV/0!</v>
      </c>
    </row>
    <row r="83" spans="2:3" x14ac:dyDescent="0.25">
      <c r="B83" t="e">
        <f t="shared" si="3"/>
        <v>#DIV/0!</v>
      </c>
      <c r="C83" t="e">
        <f t="shared" si="2"/>
        <v>#DIV/0!</v>
      </c>
    </row>
    <row r="84" spans="2:3" x14ac:dyDescent="0.25">
      <c r="B84" t="e">
        <f t="shared" si="3"/>
        <v>#DIV/0!</v>
      </c>
      <c r="C84" t="e">
        <f t="shared" si="2"/>
        <v>#DIV/0!</v>
      </c>
    </row>
    <row r="85" spans="2:3" x14ac:dyDescent="0.25">
      <c r="B85" t="e">
        <f t="shared" si="3"/>
        <v>#DIV/0!</v>
      </c>
      <c r="C85" t="e">
        <f t="shared" si="2"/>
        <v>#DIV/0!</v>
      </c>
    </row>
    <row r="86" spans="2:3" x14ac:dyDescent="0.25">
      <c r="B86" t="e">
        <f t="shared" si="3"/>
        <v>#DIV/0!</v>
      </c>
      <c r="C86" t="e">
        <f t="shared" si="2"/>
        <v>#DIV/0!</v>
      </c>
    </row>
    <row r="87" spans="2:3" x14ac:dyDescent="0.25">
      <c r="B87" t="e">
        <f t="shared" si="3"/>
        <v>#DIV/0!</v>
      </c>
      <c r="C87" t="e">
        <f t="shared" si="2"/>
        <v>#DIV/0!</v>
      </c>
    </row>
    <row r="88" spans="2:3" x14ac:dyDescent="0.25">
      <c r="B88" t="e">
        <f t="shared" si="3"/>
        <v>#DIV/0!</v>
      </c>
      <c r="C88" t="e">
        <f t="shared" si="2"/>
        <v>#DIV/0!</v>
      </c>
    </row>
    <row r="89" spans="2:3" x14ac:dyDescent="0.25">
      <c r="B89" t="e">
        <f t="shared" si="3"/>
        <v>#DIV/0!</v>
      </c>
      <c r="C89" t="e">
        <f t="shared" si="2"/>
        <v>#DIV/0!</v>
      </c>
    </row>
    <row r="90" spans="2:3" x14ac:dyDescent="0.25">
      <c r="B90" t="e">
        <f t="shared" si="3"/>
        <v>#DIV/0!</v>
      </c>
      <c r="C90" t="e">
        <f t="shared" si="2"/>
        <v>#DIV/0!</v>
      </c>
    </row>
    <row r="91" spans="2:3" x14ac:dyDescent="0.25">
      <c r="B91" t="e">
        <f t="shared" si="3"/>
        <v>#DIV/0!</v>
      </c>
      <c r="C91" t="e">
        <f t="shared" si="2"/>
        <v>#DIV/0!</v>
      </c>
    </row>
    <row r="92" spans="2:3" x14ac:dyDescent="0.25">
      <c r="B92" t="e">
        <f t="shared" si="3"/>
        <v>#DIV/0!</v>
      </c>
      <c r="C92" t="e">
        <f t="shared" si="2"/>
        <v>#DIV/0!</v>
      </c>
    </row>
    <row r="93" spans="2:3" x14ac:dyDescent="0.25">
      <c r="B93" t="e">
        <f t="shared" si="3"/>
        <v>#DIV/0!</v>
      </c>
      <c r="C93" t="e">
        <f t="shared" si="2"/>
        <v>#DIV/0!</v>
      </c>
    </row>
    <row r="94" spans="2:3" x14ac:dyDescent="0.25">
      <c r="B94" t="e">
        <f t="shared" si="3"/>
        <v>#DIV/0!</v>
      </c>
      <c r="C94" t="e">
        <f t="shared" si="2"/>
        <v>#DIV/0!</v>
      </c>
    </row>
    <row r="95" spans="2:3" x14ac:dyDescent="0.25">
      <c r="B95" t="e">
        <f t="shared" si="3"/>
        <v>#DIV/0!</v>
      </c>
      <c r="C95" t="e">
        <f t="shared" si="2"/>
        <v>#DIV/0!</v>
      </c>
    </row>
    <row r="96" spans="2:3" x14ac:dyDescent="0.25">
      <c r="B96" t="e">
        <f t="shared" si="3"/>
        <v>#DIV/0!</v>
      </c>
      <c r="C96" t="e">
        <f t="shared" si="2"/>
        <v>#DIV/0!</v>
      </c>
    </row>
    <row r="97" spans="2:3" x14ac:dyDescent="0.25">
      <c r="B97" t="e">
        <f t="shared" si="3"/>
        <v>#DIV/0!</v>
      </c>
      <c r="C97" t="e">
        <f t="shared" si="2"/>
        <v>#DIV/0!</v>
      </c>
    </row>
    <row r="98" spans="2:3" x14ac:dyDescent="0.25">
      <c r="B98" t="e">
        <f t="shared" si="3"/>
        <v>#DIV/0!</v>
      </c>
      <c r="C98" t="e">
        <f t="shared" si="2"/>
        <v>#DIV/0!</v>
      </c>
    </row>
    <row r="99" spans="2:3" x14ac:dyDescent="0.25">
      <c r="B99" t="e">
        <f t="shared" si="3"/>
        <v>#DIV/0!</v>
      </c>
      <c r="C99" t="e">
        <f t="shared" si="2"/>
        <v>#DIV/0!</v>
      </c>
    </row>
    <row r="100" spans="2:3" x14ac:dyDescent="0.25">
      <c r="B100" t="e">
        <f t="shared" si="3"/>
        <v>#DIV/0!</v>
      </c>
      <c r="C100" t="e">
        <f t="shared" si="2"/>
        <v>#DIV/0!</v>
      </c>
    </row>
    <row r="101" spans="2:3" x14ac:dyDescent="0.25">
      <c r="B101" t="e">
        <f t="shared" si="3"/>
        <v>#DIV/0!</v>
      </c>
      <c r="C101" t="e">
        <f t="shared" si="2"/>
        <v>#DIV/0!</v>
      </c>
    </row>
    <row r="102" spans="2:3" x14ac:dyDescent="0.25">
      <c r="B102" t="e">
        <f t="shared" si="3"/>
        <v>#DIV/0!</v>
      </c>
      <c r="C102" t="e">
        <f t="shared" si="2"/>
        <v>#DIV/0!</v>
      </c>
    </row>
    <row r="103" spans="2:3" x14ac:dyDescent="0.25">
      <c r="B103" t="e">
        <f t="shared" si="3"/>
        <v>#DIV/0!</v>
      </c>
      <c r="C103" t="e">
        <f t="shared" si="2"/>
        <v>#DIV/0!</v>
      </c>
    </row>
    <row r="104" spans="2:3" x14ac:dyDescent="0.25">
      <c r="B104" t="e">
        <f t="shared" si="3"/>
        <v>#DIV/0!</v>
      </c>
      <c r="C104" t="e">
        <f t="shared" si="2"/>
        <v>#DIV/0!</v>
      </c>
    </row>
    <row r="105" spans="2:3" x14ac:dyDescent="0.25">
      <c r="B105" t="e">
        <f t="shared" si="3"/>
        <v>#DIV/0!</v>
      </c>
      <c r="C105" t="e">
        <f t="shared" ref="C105:C136" si="4">B$27*B105^2+B$28*B105+B$29</f>
        <v>#DIV/0!</v>
      </c>
    </row>
    <row r="106" spans="2:3" x14ac:dyDescent="0.25">
      <c r="B106" t="e">
        <f t="shared" ref="B106:B137" si="5">B105+D$38</f>
        <v>#DIV/0!</v>
      </c>
      <c r="C106" t="e">
        <f t="shared" si="4"/>
        <v>#DIV/0!</v>
      </c>
    </row>
    <row r="107" spans="2:3" x14ac:dyDescent="0.25">
      <c r="B107" t="e">
        <f t="shared" si="5"/>
        <v>#DIV/0!</v>
      </c>
      <c r="C107" t="e">
        <f t="shared" si="4"/>
        <v>#DIV/0!</v>
      </c>
    </row>
    <row r="108" spans="2:3" x14ac:dyDescent="0.25">
      <c r="B108" t="e">
        <f t="shared" si="5"/>
        <v>#DIV/0!</v>
      </c>
      <c r="C108" t="e">
        <f t="shared" si="4"/>
        <v>#DIV/0!</v>
      </c>
    </row>
    <row r="109" spans="2:3" x14ac:dyDescent="0.25">
      <c r="B109" t="e">
        <f t="shared" si="5"/>
        <v>#DIV/0!</v>
      </c>
      <c r="C109" t="e">
        <f t="shared" si="4"/>
        <v>#DIV/0!</v>
      </c>
    </row>
    <row r="110" spans="2:3" x14ac:dyDescent="0.25">
      <c r="B110" t="e">
        <f t="shared" si="5"/>
        <v>#DIV/0!</v>
      </c>
      <c r="C110" t="e">
        <f t="shared" si="4"/>
        <v>#DIV/0!</v>
      </c>
    </row>
    <row r="111" spans="2:3" x14ac:dyDescent="0.25">
      <c r="B111" t="e">
        <f t="shared" si="5"/>
        <v>#DIV/0!</v>
      </c>
      <c r="C111" t="e">
        <f t="shared" si="4"/>
        <v>#DIV/0!</v>
      </c>
    </row>
    <row r="112" spans="2:3" x14ac:dyDescent="0.25">
      <c r="B112" t="e">
        <f t="shared" si="5"/>
        <v>#DIV/0!</v>
      </c>
      <c r="C112" t="e">
        <f t="shared" si="4"/>
        <v>#DIV/0!</v>
      </c>
    </row>
    <row r="113" spans="2:3" x14ac:dyDescent="0.25">
      <c r="B113" t="e">
        <f t="shared" si="5"/>
        <v>#DIV/0!</v>
      </c>
      <c r="C113" t="e">
        <f t="shared" si="4"/>
        <v>#DIV/0!</v>
      </c>
    </row>
    <row r="114" spans="2:3" x14ac:dyDescent="0.25">
      <c r="B114" t="e">
        <f t="shared" si="5"/>
        <v>#DIV/0!</v>
      </c>
      <c r="C114" t="e">
        <f t="shared" si="4"/>
        <v>#DIV/0!</v>
      </c>
    </row>
    <row r="115" spans="2:3" x14ac:dyDescent="0.25">
      <c r="B115" t="e">
        <f t="shared" si="5"/>
        <v>#DIV/0!</v>
      </c>
      <c r="C115" t="e">
        <f t="shared" si="4"/>
        <v>#DIV/0!</v>
      </c>
    </row>
    <row r="116" spans="2:3" x14ac:dyDescent="0.25">
      <c r="B116" t="e">
        <f t="shared" si="5"/>
        <v>#DIV/0!</v>
      </c>
      <c r="C116" t="e">
        <f t="shared" si="4"/>
        <v>#DIV/0!</v>
      </c>
    </row>
    <row r="117" spans="2:3" x14ac:dyDescent="0.25">
      <c r="B117" t="e">
        <f t="shared" si="5"/>
        <v>#DIV/0!</v>
      </c>
      <c r="C117" t="e">
        <f t="shared" si="4"/>
        <v>#DIV/0!</v>
      </c>
    </row>
    <row r="118" spans="2:3" x14ac:dyDescent="0.25">
      <c r="B118" t="e">
        <f t="shared" si="5"/>
        <v>#DIV/0!</v>
      </c>
      <c r="C118" t="e">
        <f t="shared" si="4"/>
        <v>#DIV/0!</v>
      </c>
    </row>
    <row r="119" spans="2:3" x14ac:dyDescent="0.25">
      <c r="B119" t="e">
        <f t="shared" si="5"/>
        <v>#DIV/0!</v>
      </c>
      <c r="C119" t="e">
        <f t="shared" si="4"/>
        <v>#DIV/0!</v>
      </c>
    </row>
    <row r="120" spans="2:3" x14ac:dyDescent="0.25">
      <c r="B120" t="e">
        <f t="shared" si="5"/>
        <v>#DIV/0!</v>
      </c>
      <c r="C120" t="e">
        <f t="shared" si="4"/>
        <v>#DIV/0!</v>
      </c>
    </row>
    <row r="121" spans="2:3" x14ac:dyDescent="0.25">
      <c r="B121" t="e">
        <f t="shared" si="5"/>
        <v>#DIV/0!</v>
      </c>
      <c r="C121" t="e">
        <f t="shared" si="4"/>
        <v>#DIV/0!</v>
      </c>
    </row>
    <row r="122" spans="2:3" x14ac:dyDescent="0.25">
      <c r="B122" t="e">
        <f t="shared" si="5"/>
        <v>#DIV/0!</v>
      </c>
      <c r="C122" t="e">
        <f t="shared" si="4"/>
        <v>#DIV/0!</v>
      </c>
    </row>
    <row r="123" spans="2:3" x14ac:dyDescent="0.25">
      <c r="B123" t="e">
        <f t="shared" si="5"/>
        <v>#DIV/0!</v>
      </c>
      <c r="C123" t="e">
        <f t="shared" si="4"/>
        <v>#DIV/0!</v>
      </c>
    </row>
    <row r="124" spans="2:3" x14ac:dyDescent="0.25">
      <c r="B124" t="e">
        <f t="shared" si="5"/>
        <v>#DIV/0!</v>
      </c>
      <c r="C124" t="e">
        <f t="shared" si="4"/>
        <v>#DIV/0!</v>
      </c>
    </row>
    <row r="125" spans="2:3" x14ac:dyDescent="0.25">
      <c r="B125" t="e">
        <f t="shared" si="5"/>
        <v>#DIV/0!</v>
      </c>
      <c r="C125" t="e">
        <f t="shared" si="4"/>
        <v>#DIV/0!</v>
      </c>
    </row>
    <row r="126" spans="2:3" x14ac:dyDescent="0.25">
      <c r="B126" t="e">
        <f t="shared" si="5"/>
        <v>#DIV/0!</v>
      </c>
      <c r="C126" t="e">
        <f t="shared" si="4"/>
        <v>#DIV/0!</v>
      </c>
    </row>
    <row r="127" spans="2:3" x14ac:dyDescent="0.25">
      <c r="B127" t="e">
        <f t="shared" si="5"/>
        <v>#DIV/0!</v>
      </c>
      <c r="C127" t="e">
        <f t="shared" si="4"/>
        <v>#DIV/0!</v>
      </c>
    </row>
    <row r="128" spans="2:3" x14ac:dyDescent="0.25">
      <c r="B128" t="e">
        <f t="shared" si="5"/>
        <v>#DIV/0!</v>
      </c>
      <c r="C128" t="e">
        <f t="shared" si="4"/>
        <v>#DIV/0!</v>
      </c>
    </row>
    <row r="129" spans="2:3" x14ac:dyDescent="0.25">
      <c r="B129" t="e">
        <f t="shared" si="5"/>
        <v>#DIV/0!</v>
      </c>
      <c r="C129" t="e">
        <f t="shared" si="4"/>
        <v>#DIV/0!</v>
      </c>
    </row>
    <row r="130" spans="2:3" x14ac:dyDescent="0.25">
      <c r="B130" t="e">
        <f t="shared" si="5"/>
        <v>#DIV/0!</v>
      </c>
      <c r="C130" t="e">
        <f t="shared" si="4"/>
        <v>#DIV/0!</v>
      </c>
    </row>
    <row r="131" spans="2:3" x14ac:dyDescent="0.25">
      <c r="B131" t="e">
        <f t="shared" si="5"/>
        <v>#DIV/0!</v>
      </c>
      <c r="C131" t="e">
        <f t="shared" si="4"/>
        <v>#DIV/0!</v>
      </c>
    </row>
    <row r="132" spans="2:3" x14ac:dyDescent="0.25">
      <c r="B132" t="e">
        <f t="shared" si="5"/>
        <v>#DIV/0!</v>
      </c>
      <c r="C132" t="e">
        <f t="shared" si="4"/>
        <v>#DIV/0!</v>
      </c>
    </row>
    <row r="133" spans="2:3" x14ac:dyDescent="0.25">
      <c r="B133" t="e">
        <f t="shared" si="5"/>
        <v>#DIV/0!</v>
      </c>
      <c r="C133" t="e">
        <f t="shared" si="4"/>
        <v>#DIV/0!</v>
      </c>
    </row>
    <row r="134" spans="2:3" x14ac:dyDescent="0.25">
      <c r="B134" t="e">
        <f t="shared" si="5"/>
        <v>#DIV/0!</v>
      </c>
      <c r="C134" t="e">
        <f t="shared" si="4"/>
        <v>#DIV/0!</v>
      </c>
    </row>
    <row r="135" spans="2:3" x14ac:dyDescent="0.25">
      <c r="B135" t="e">
        <f t="shared" si="5"/>
        <v>#DIV/0!</v>
      </c>
      <c r="C135" t="e">
        <f t="shared" si="4"/>
        <v>#DIV/0!</v>
      </c>
    </row>
    <row r="136" spans="2:3" x14ac:dyDescent="0.25">
      <c r="B136" t="e">
        <f t="shared" si="5"/>
        <v>#DIV/0!</v>
      </c>
      <c r="C136" t="e">
        <f t="shared" si="4"/>
        <v>#DIV/0!</v>
      </c>
    </row>
    <row r="137" spans="2:3" x14ac:dyDescent="0.25">
      <c r="B137" t="e">
        <f t="shared" si="5"/>
        <v>#DIV/0!</v>
      </c>
      <c r="C137" t="e">
        <f t="shared" ref="C137:C168" si="6">B$27*B137^2+B$28*B137+B$29</f>
        <v>#DIV/0!</v>
      </c>
    </row>
    <row r="138" spans="2:3" x14ac:dyDescent="0.25">
      <c r="B138" t="e">
        <f t="shared" ref="B138:B169" si="7">B137+D$38</f>
        <v>#DIV/0!</v>
      </c>
      <c r="C138" t="e">
        <f t="shared" si="6"/>
        <v>#DIV/0!</v>
      </c>
    </row>
    <row r="139" spans="2:3" x14ac:dyDescent="0.25">
      <c r="B139" t="e">
        <f t="shared" si="7"/>
        <v>#DIV/0!</v>
      </c>
      <c r="C139" t="e">
        <f t="shared" si="6"/>
        <v>#DIV/0!</v>
      </c>
    </row>
    <row r="140" spans="2:3" x14ac:dyDescent="0.25">
      <c r="B140" t="e">
        <f t="shared" si="7"/>
        <v>#DIV/0!</v>
      </c>
      <c r="C140" t="e">
        <f t="shared" si="6"/>
        <v>#DIV/0!</v>
      </c>
    </row>
    <row r="141" spans="2:3" x14ac:dyDescent="0.25">
      <c r="B141" t="e">
        <f t="shared" si="7"/>
        <v>#DIV/0!</v>
      </c>
      <c r="C141" t="e">
        <f t="shared" si="6"/>
        <v>#DIV/0!</v>
      </c>
    </row>
    <row r="142" spans="2:3" x14ac:dyDescent="0.25">
      <c r="B142" t="e">
        <f t="shared" si="7"/>
        <v>#DIV/0!</v>
      </c>
      <c r="C142" t="e">
        <f t="shared" si="6"/>
        <v>#DIV/0!</v>
      </c>
    </row>
    <row r="143" spans="2:3" x14ac:dyDescent="0.25">
      <c r="B143" t="e">
        <f t="shared" si="7"/>
        <v>#DIV/0!</v>
      </c>
      <c r="C143" t="e">
        <f t="shared" si="6"/>
        <v>#DIV/0!</v>
      </c>
    </row>
    <row r="144" spans="2:3" x14ac:dyDescent="0.25">
      <c r="B144" t="e">
        <f t="shared" si="7"/>
        <v>#DIV/0!</v>
      </c>
      <c r="C144" t="e">
        <f t="shared" si="6"/>
        <v>#DIV/0!</v>
      </c>
    </row>
    <row r="145" spans="2:3" x14ac:dyDescent="0.25">
      <c r="B145" t="e">
        <f t="shared" si="7"/>
        <v>#DIV/0!</v>
      </c>
      <c r="C145" t="e">
        <f t="shared" si="6"/>
        <v>#DIV/0!</v>
      </c>
    </row>
    <row r="146" spans="2:3" x14ac:dyDescent="0.25">
      <c r="B146" t="e">
        <f t="shared" si="7"/>
        <v>#DIV/0!</v>
      </c>
      <c r="C146" t="e">
        <f t="shared" si="6"/>
        <v>#DIV/0!</v>
      </c>
    </row>
    <row r="147" spans="2:3" x14ac:dyDescent="0.25">
      <c r="B147" t="e">
        <f t="shared" si="7"/>
        <v>#DIV/0!</v>
      </c>
      <c r="C147" t="e">
        <f t="shared" si="6"/>
        <v>#DIV/0!</v>
      </c>
    </row>
    <row r="148" spans="2:3" x14ac:dyDescent="0.25">
      <c r="B148" t="e">
        <f t="shared" si="7"/>
        <v>#DIV/0!</v>
      </c>
      <c r="C148" t="e">
        <f t="shared" si="6"/>
        <v>#DIV/0!</v>
      </c>
    </row>
    <row r="149" spans="2:3" x14ac:dyDescent="0.25">
      <c r="B149" t="e">
        <f t="shared" si="7"/>
        <v>#DIV/0!</v>
      </c>
      <c r="C149" t="e">
        <f t="shared" si="6"/>
        <v>#DIV/0!</v>
      </c>
    </row>
    <row r="150" spans="2:3" x14ac:dyDescent="0.25">
      <c r="B150" t="e">
        <f t="shared" si="7"/>
        <v>#DIV/0!</v>
      </c>
      <c r="C150" t="e">
        <f t="shared" si="6"/>
        <v>#DIV/0!</v>
      </c>
    </row>
    <row r="151" spans="2:3" x14ac:dyDescent="0.25">
      <c r="B151" t="e">
        <f t="shared" si="7"/>
        <v>#DIV/0!</v>
      </c>
      <c r="C151" t="e">
        <f t="shared" si="6"/>
        <v>#DIV/0!</v>
      </c>
    </row>
    <row r="152" spans="2:3" x14ac:dyDescent="0.25">
      <c r="B152" t="e">
        <f t="shared" si="7"/>
        <v>#DIV/0!</v>
      </c>
      <c r="C152" t="e">
        <f t="shared" si="6"/>
        <v>#DIV/0!</v>
      </c>
    </row>
    <row r="153" spans="2:3" x14ac:dyDescent="0.25">
      <c r="B153" t="e">
        <f t="shared" si="7"/>
        <v>#DIV/0!</v>
      </c>
      <c r="C153" t="e">
        <f t="shared" si="6"/>
        <v>#DIV/0!</v>
      </c>
    </row>
    <row r="154" spans="2:3" x14ac:dyDescent="0.25">
      <c r="B154" t="e">
        <f t="shared" si="7"/>
        <v>#DIV/0!</v>
      </c>
      <c r="C154" t="e">
        <f t="shared" si="6"/>
        <v>#DIV/0!</v>
      </c>
    </row>
    <row r="155" spans="2:3" x14ac:dyDescent="0.25">
      <c r="B155" t="e">
        <f t="shared" si="7"/>
        <v>#DIV/0!</v>
      </c>
      <c r="C155" t="e">
        <f t="shared" si="6"/>
        <v>#DIV/0!</v>
      </c>
    </row>
    <row r="156" spans="2:3" x14ac:dyDescent="0.25">
      <c r="B156" t="e">
        <f t="shared" si="7"/>
        <v>#DIV/0!</v>
      </c>
      <c r="C156" t="e">
        <f t="shared" si="6"/>
        <v>#DIV/0!</v>
      </c>
    </row>
    <row r="157" spans="2:3" x14ac:dyDescent="0.25">
      <c r="B157" t="e">
        <f t="shared" si="7"/>
        <v>#DIV/0!</v>
      </c>
      <c r="C157" t="e">
        <f t="shared" si="6"/>
        <v>#DIV/0!</v>
      </c>
    </row>
    <row r="158" spans="2:3" x14ac:dyDescent="0.25">
      <c r="B158" t="e">
        <f t="shared" si="7"/>
        <v>#DIV/0!</v>
      </c>
      <c r="C158" t="e">
        <f t="shared" si="6"/>
        <v>#DIV/0!</v>
      </c>
    </row>
    <row r="159" spans="2:3" x14ac:dyDescent="0.25">
      <c r="B159" t="e">
        <f t="shared" si="7"/>
        <v>#DIV/0!</v>
      </c>
      <c r="C159" t="e">
        <f t="shared" si="6"/>
        <v>#DIV/0!</v>
      </c>
    </row>
    <row r="160" spans="2:3" x14ac:dyDescent="0.25">
      <c r="B160" t="e">
        <f t="shared" si="7"/>
        <v>#DIV/0!</v>
      </c>
      <c r="C160" t="e">
        <f t="shared" si="6"/>
        <v>#DIV/0!</v>
      </c>
    </row>
    <row r="161" spans="2:3" x14ac:dyDescent="0.25">
      <c r="B161" t="e">
        <f t="shared" si="7"/>
        <v>#DIV/0!</v>
      </c>
      <c r="C161" t="e">
        <f t="shared" si="6"/>
        <v>#DIV/0!</v>
      </c>
    </row>
    <row r="162" spans="2:3" x14ac:dyDescent="0.25">
      <c r="B162" t="e">
        <f t="shared" si="7"/>
        <v>#DIV/0!</v>
      </c>
      <c r="C162" t="e">
        <f t="shared" si="6"/>
        <v>#DIV/0!</v>
      </c>
    </row>
    <row r="163" spans="2:3" x14ac:dyDescent="0.25">
      <c r="B163" t="e">
        <f t="shared" si="7"/>
        <v>#DIV/0!</v>
      </c>
      <c r="C163" t="e">
        <f t="shared" si="6"/>
        <v>#DIV/0!</v>
      </c>
    </row>
    <row r="164" spans="2:3" x14ac:dyDescent="0.25">
      <c r="B164" t="e">
        <f t="shared" si="7"/>
        <v>#DIV/0!</v>
      </c>
      <c r="C164" t="e">
        <f t="shared" si="6"/>
        <v>#DIV/0!</v>
      </c>
    </row>
    <row r="165" spans="2:3" x14ac:dyDescent="0.25">
      <c r="B165" t="e">
        <f t="shared" si="7"/>
        <v>#DIV/0!</v>
      </c>
      <c r="C165" t="e">
        <f t="shared" si="6"/>
        <v>#DIV/0!</v>
      </c>
    </row>
    <row r="166" spans="2:3" x14ac:dyDescent="0.25">
      <c r="B166" t="e">
        <f t="shared" si="7"/>
        <v>#DIV/0!</v>
      </c>
      <c r="C166" t="e">
        <f t="shared" si="6"/>
        <v>#DIV/0!</v>
      </c>
    </row>
    <row r="167" spans="2:3" x14ac:dyDescent="0.25">
      <c r="B167" t="e">
        <f t="shared" si="7"/>
        <v>#DIV/0!</v>
      </c>
      <c r="C167" t="e">
        <f t="shared" si="6"/>
        <v>#DIV/0!</v>
      </c>
    </row>
    <row r="168" spans="2:3" x14ac:dyDescent="0.25">
      <c r="B168" t="e">
        <f t="shared" si="7"/>
        <v>#DIV/0!</v>
      </c>
      <c r="C168" t="e">
        <f t="shared" si="6"/>
        <v>#DIV/0!</v>
      </c>
    </row>
    <row r="169" spans="2:3" x14ac:dyDescent="0.25">
      <c r="B169" t="e">
        <f t="shared" si="7"/>
        <v>#DIV/0!</v>
      </c>
      <c r="C169" t="e">
        <f t="shared" ref="C169:C181" si="8">B$27*B169^2+B$28*B169+B$29</f>
        <v>#DIV/0!</v>
      </c>
    </row>
    <row r="170" spans="2:3" x14ac:dyDescent="0.25">
      <c r="B170" t="e">
        <f t="shared" ref="B170:B181" si="9">B169+D$38</f>
        <v>#DIV/0!</v>
      </c>
      <c r="C170" t="e">
        <f t="shared" si="8"/>
        <v>#DIV/0!</v>
      </c>
    </row>
    <row r="171" spans="2:3" x14ac:dyDescent="0.25">
      <c r="B171" t="e">
        <f t="shared" si="9"/>
        <v>#DIV/0!</v>
      </c>
      <c r="C171" t="e">
        <f t="shared" si="8"/>
        <v>#DIV/0!</v>
      </c>
    </row>
    <row r="172" spans="2:3" x14ac:dyDescent="0.25">
      <c r="B172" t="e">
        <f t="shared" si="9"/>
        <v>#DIV/0!</v>
      </c>
      <c r="C172" t="e">
        <f t="shared" si="8"/>
        <v>#DIV/0!</v>
      </c>
    </row>
    <row r="173" spans="2:3" x14ac:dyDescent="0.25">
      <c r="B173" t="e">
        <f t="shared" si="9"/>
        <v>#DIV/0!</v>
      </c>
      <c r="C173" t="e">
        <f t="shared" si="8"/>
        <v>#DIV/0!</v>
      </c>
    </row>
    <row r="174" spans="2:3" x14ac:dyDescent="0.25">
      <c r="B174" t="e">
        <f t="shared" si="9"/>
        <v>#DIV/0!</v>
      </c>
      <c r="C174" t="e">
        <f t="shared" si="8"/>
        <v>#DIV/0!</v>
      </c>
    </row>
    <row r="175" spans="2:3" x14ac:dyDescent="0.25">
      <c r="B175" t="e">
        <f t="shared" si="9"/>
        <v>#DIV/0!</v>
      </c>
      <c r="C175" t="e">
        <f t="shared" si="8"/>
        <v>#DIV/0!</v>
      </c>
    </row>
    <row r="176" spans="2:3" x14ac:dyDescent="0.25">
      <c r="B176" t="e">
        <f t="shared" si="9"/>
        <v>#DIV/0!</v>
      </c>
      <c r="C176" t="e">
        <f t="shared" si="8"/>
        <v>#DIV/0!</v>
      </c>
    </row>
    <row r="177" spans="2:3" x14ac:dyDescent="0.25">
      <c r="B177" t="e">
        <f t="shared" si="9"/>
        <v>#DIV/0!</v>
      </c>
      <c r="C177" t="e">
        <f t="shared" si="8"/>
        <v>#DIV/0!</v>
      </c>
    </row>
    <row r="178" spans="2:3" x14ac:dyDescent="0.25">
      <c r="B178" t="e">
        <f t="shared" si="9"/>
        <v>#DIV/0!</v>
      </c>
      <c r="C178" t="e">
        <f t="shared" si="8"/>
        <v>#DIV/0!</v>
      </c>
    </row>
    <row r="179" spans="2:3" x14ac:dyDescent="0.25">
      <c r="B179" t="e">
        <f t="shared" si="9"/>
        <v>#DIV/0!</v>
      </c>
      <c r="C179" t="e">
        <f t="shared" si="8"/>
        <v>#DIV/0!</v>
      </c>
    </row>
    <row r="180" spans="2:3" x14ac:dyDescent="0.25">
      <c r="B180" t="e">
        <f t="shared" si="9"/>
        <v>#DIV/0!</v>
      </c>
      <c r="C180" t="e">
        <f t="shared" si="8"/>
        <v>#DIV/0!</v>
      </c>
    </row>
    <row r="181" spans="2:3" x14ac:dyDescent="0.25">
      <c r="B181" t="e">
        <f t="shared" si="9"/>
        <v>#DIV/0!</v>
      </c>
      <c r="C181" t="e">
        <f t="shared" si="8"/>
        <v>#DIV/0!</v>
      </c>
    </row>
  </sheetData>
  <sheetProtection password="EA24" sheet="1"/>
  <protectedRanges>
    <protectedRange sqref="B27:B29" name="Plage1"/>
  </protectedRanges>
  <mergeCells count="1">
    <mergeCell ref="A38:C38"/>
  </mergeCells>
  <pageMargins left="0.78740157499999996" right="0.78740157499999996" top="0.984251969" bottom="0.984251969" header="0.4921259845" footer="0.492125984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9E48B642488B4BA352CD2E6624428F" ma:contentTypeVersion="16" ma:contentTypeDescription="Crée un document." ma:contentTypeScope="" ma:versionID="604a171a02ee11519fd8a377566f4e14">
  <xsd:schema xmlns:xsd="http://www.w3.org/2001/XMLSchema" xmlns:xs="http://www.w3.org/2001/XMLSchema" xmlns:p="http://schemas.microsoft.com/office/2006/metadata/properties" xmlns:ns2="5afb5963-748f-4c93-8110-d37fdc1dce77" xmlns:ns3="ab260464-2f3d-4f63-9a2c-fc58d74488d2" targetNamespace="http://schemas.microsoft.com/office/2006/metadata/properties" ma:root="true" ma:fieldsID="c79ee8752e596dbe74a7abb6e764f546" ns2:_="" ns3:_="">
    <xsd:import namespace="5afb5963-748f-4c93-8110-d37fdc1dce77"/>
    <xsd:import namespace="ab260464-2f3d-4f63-9a2c-fc58d74488d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b5963-748f-4c93-8110-d37fdc1dc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3e6f1de-e3d8-47b6-9eef-e6c6289b2a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0464-2f3d-4f63-9a2c-fc58d74488d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5eeea3-2006-4b31-8f79-a3882a45c414}" ma:internalName="TaxCatchAll" ma:showField="CatchAllData" ma:web="ab260464-2f3d-4f63-9a2c-fc58d74488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260464-2f3d-4f63-9a2c-fc58d74488d2" xsi:nil="true"/>
    <lcf76f155ced4ddcb4097134ff3c332f xmlns="5afb5963-748f-4c93-8110-d37fdc1dce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418E1E-29D9-4F3C-BA65-A541A9399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fb5963-748f-4c93-8110-d37fdc1dce77"/>
    <ds:schemaRef ds:uri="ab260464-2f3d-4f63-9a2c-fc58d7448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BD639E-9780-49F8-B56E-391FC9BCA0C4}">
  <ds:schemaRefs>
    <ds:schemaRef ds:uri="http://schemas.microsoft.com/sharepoint/v3/contenttype/forms"/>
  </ds:schemaRefs>
</ds:datastoreItem>
</file>

<file path=customXml/itemProps3.xml><?xml version="1.0" encoding="utf-8"?>
<ds:datastoreItem xmlns:ds="http://schemas.openxmlformats.org/officeDocument/2006/customXml" ds:itemID="{37F51DB0-2AFA-41FB-9D6D-F0EBA6BFD3C9}">
  <ds:schemaRefs>
    <ds:schemaRef ds:uri="http://purl.org/dc/dcmitype/"/>
    <ds:schemaRef ds:uri="http://schemas.openxmlformats.org/package/2006/metadata/core-properties"/>
    <ds:schemaRef ds:uri="ab260464-2f3d-4f63-9a2c-fc58d74488d2"/>
    <ds:schemaRef ds:uri="http://purl.org/dc/elements/1.1/"/>
    <ds:schemaRef ds:uri="5afb5963-748f-4c93-8110-d37fdc1dce77"/>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ESP Leaching Bed</vt:lpstr>
      <vt:lpstr>Feuil1</vt:lpstr>
      <vt:lpstr>ESP Bed - Custom spacing</vt:lpstr>
      <vt:lpstr>Summary - Leaching Bed</vt:lpstr>
      <vt:lpstr>Quantity</vt:lpstr>
      <vt:lpstr>Estimation Espacement</vt:lpstr>
      <vt:lpstr>'ESP Bed - Custom spacing'!Print_Area</vt:lpstr>
      <vt:lpstr>'ESP Leaching Bed'!Print_Area</vt:lpstr>
      <vt:lpstr>'Summary - Leaching Bed'!Print_Area</vt:lpstr>
    </vt:vector>
  </TitlesOfParts>
  <Manager/>
  <Company>DBO Expert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R. Côté</dc:creator>
  <cp:keywords/>
  <dc:description/>
  <cp:lastModifiedBy>Bert Knip</cp:lastModifiedBy>
  <cp:revision/>
  <cp:lastPrinted>2025-04-16T13:27:58Z</cp:lastPrinted>
  <dcterms:created xsi:type="dcterms:W3CDTF">2008-03-28T13:11:01Z</dcterms:created>
  <dcterms:modified xsi:type="dcterms:W3CDTF">2026-03-06T13:37:03Z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0x010100DC9E48B642488B4BA352CD2E6624428F</vt:lpwstr>
  </property>
  <property fmtid="{D5CDD505-2E9C-101B-9397-08002B2CF9AE}" pid="3" name="MediaServiceImageTags">
    <vt:lpwstr/>
  </property>
</Properties>
</file>