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Make-Way\Teresa\Enviro-Septic Files\"/>
    </mc:Choice>
  </mc:AlternateContent>
  <workbookProtection workbookAlgorithmName="SHA-512" workbookHashValue="1CfG6F/RDQwkC5A++13SMSvegbrzQkj/tBY7SxM4D4yf9OxM2s2F9vndG3VbcsdKs5x5ub11Leo7KBAIyRjxOQ==" workbookSaltValue="9zN/NwkqtZG50KQ8vgxLxw==" workbookSpinCount="100000" lockStructure="1"/>
  <bookViews>
    <workbookView xWindow="0" yWindow="0" windowWidth="24000" windowHeight="9315" tabRatio="868"/>
  </bookViews>
  <sheets>
    <sheet name="ESP Leaching Bed" sheetId="13" r:id="rId1"/>
    <sheet name="Feuil1" sheetId="18" state="hidden" r:id="rId2"/>
    <sheet name="Summary - Leaching Bed" sheetId="14" r:id="rId3"/>
    <sheet name="Quantity" sheetId="16" r:id="rId4"/>
    <sheet name="Pump calculator" sheetId="19" r:id="rId5"/>
    <sheet name="head loss data" sheetId="20" state="hidden" r:id="rId6"/>
    <sheet name="pump curves" sheetId="21" state="hidden" r:id="rId7"/>
    <sheet name="Estimation Espacement" sheetId="15" state="hidden" r:id="rId8"/>
    <sheet name="Feuil2" sheetId="22" state="hidden" r:id="rId9"/>
    <sheet name="Feuil3" sheetId="23" state="hidden" r:id="rId10"/>
  </sheets>
  <definedNames>
    <definedName name="__xlchart.v1.0" hidden="1">'pump curves'!$A$5:$A$9</definedName>
    <definedName name="__xlchart.v1.1" hidden="1">'pump curves'!$B$5:$B$9</definedName>
    <definedName name="_xlnm.Print_Area" localSheetId="0">#N/A</definedName>
    <definedName name="_xlnm.Print_Area" localSheetId="2">#N/A</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20" l="1"/>
  <c r="C72" i="20"/>
  <c r="C71" i="20"/>
  <c r="E4" i="16"/>
  <c r="E3" i="16"/>
  <c r="E2" i="16"/>
  <c r="D13" i="14"/>
  <c r="D12" i="14"/>
  <c r="E99" i="14"/>
  <c r="E97" i="14"/>
  <c r="O95" i="14"/>
  <c r="O93" i="14"/>
  <c r="I76" i="14"/>
  <c r="E76" i="14"/>
  <c r="O50" i="14"/>
  <c r="O48" i="14"/>
  <c r="B50" i="14"/>
  <c r="B48" i="14"/>
  <c r="D38" i="14"/>
  <c r="F22" i="14"/>
  <c r="F19" i="14"/>
  <c r="F18" i="14"/>
  <c r="F17" i="14"/>
  <c r="F16" i="14"/>
  <c r="C9" i="18"/>
  <c r="D3" i="18"/>
  <c r="D4" i="18"/>
  <c r="D2" i="18"/>
  <c r="C4" i="18"/>
  <c r="C3" i="18"/>
  <c r="C2" i="18"/>
  <c r="F4" i="18"/>
  <c r="F3" i="18"/>
  <c r="F2" i="18"/>
  <c r="E18" i="13" l="1"/>
  <c r="A12" i="16" l="1"/>
  <c r="A16" i="16"/>
  <c r="A18" i="16"/>
  <c r="C21" i="13"/>
  <c r="C29" i="13"/>
  <c r="C19" i="13"/>
  <c r="D4" i="19" s="1"/>
  <c r="T9" i="20"/>
  <c r="C25" i="13"/>
  <c r="I67" i="14" s="1"/>
  <c r="F26" i="13"/>
  <c r="E17" i="13"/>
  <c r="T21" i="20"/>
  <c r="C74" i="20"/>
  <c r="B27" i="19" s="1"/>
  <c r="C80" i="20"/>
  <c r="B26" i="19" s="1"/>
  <c r="P34" i="20"/>
  <c r="O34" i="20"/>
  <c r="N34" i="20"/>
  <c r="M34" i="20"/>
  <c r="J34" i="20"/>
  <c r="L34" i="20"/>
  <c r="P32" i="20"/>
  <c r="O32" i="20"/>
  <c r="N32" i="20"/>
  <c r="M32" i="20"/>
  <c r="L32" i="20"/>
  <c r="P30" i="20"/>
  <c r="O30" i="20"/>
  <c r="N30" i="20"/>
  <c r="M30" i="20"/>
  <c r="L30" i="20"/>
  <c r="P27" i="20"/>
  <c r="O27" i="20"/>
  <c r="N27" i="20"/>
  <c r="M27" i="20"/>
  <c r="J27" i="20"/>
  <c r="L27" i="20"/>
  <c r="P24" i="20"/>
  <c r="O24" i="20"/>
  <c r="J24" i="20"/>
  <c r="U9" i="20"/>
  <c r="N24" i="20"/>
  <c r="M24" i="20"/>
  <c r="L24" i="20"/>
  <c r="P20" i="20"/>
  <c r="O20" i="20"/>
  <c r="N20" i="20"/>
  <c r="M20" i="20"/>
  <c r="L20" i="20"/>
  <c r="P17" i="20"/>
  <c r="O17" i="20"/>
  <c r="N17" i="20"/>
  <c r="M17" i="20"/>
  <c r="L17" i="20"/>
  <c r="P13" i="20"/>
  <c r="O13" i="20"/>
  <c r="N13" i="20"/>
  <c r="M13" i="20"/>
  <c r="L13" i="20"/>
  <c r="T10" i="20"/>
  <c r="V10" i="20"/>
  <c r="P10" i="20"/>
  <c r="O10" i="20"/>
  <c r="N10" i="20"/>
  <c r="M10" i="20"/>
  <c r="L10" i="20"/>
  <c r="V9" i="20"/>
  <c r="T8" i="20"/>
  <c r="V8" i="20"/>
  <c r="P8" i="20"/>
  <c r="O8" i="20"/>
  <c r="N8" i="20"/>
  <c r="M8" i="20"/>
  <c r="L8" i="20"/>
  <c r="V7" i="20"/>
  <c r="T7" i="20"/>
  <c r="T6" i="20"/>
  <c r="V6" i="20"/>
  <c r="P6" i="20"/>
  <c r="O6" i="20"/>
  <c r="N6" i="20"/>
  <c r="M6" i="20"/>
  <c r="L6" i="20"/>
  <c r="T5" i="20"/>
  <c r="V5" i="20"/>
  <c r="T4" i="20"/>
  <c r="V4" i="20"/>
  <c r="T3" i="20"/>
  <c r="V3" i="20"/>
  <c r="J8" i="20"/>
  <c r="U4" i="20"/>
  <c r="J6" i="20"/>
  <c r="J10" i="20"/>
  <c r="U5" i="20"/>
  <c r="J30" i="20"/>
  <c r="J32" i="20"/>
  <c r="J17" i="20"/>
  <c r="U7" i="20"/>
  <c r="J13" i="20"/>
  <c r="U6" i="20"/>
  <c r="J20" i="20"/>
  <c r="U8" i="20"/>
  <c r="U3" i="20"/>
  <c r="U10" i="20"/>
  <c r="G2" i="18"/>
  <c r="C26" i="13"/>
  <c r="B62" i="14"/>
  <c r="B60" i="14"/>
  <c r="A14" i="16"/>
  <c r="A22" i="16"/>
  <c r="I14" i="15"/>
  <c r="I13" i="15"/>
  <c r="B13" i="15"/>
  <c r="C34" i="15"/>
  <c r="D34" i="15"/>
  <c r="F6" i="13"/>
  <c r="N13" i="14"/>
  <c r="E16" i="13"/>
  <c r="C43" i="13"/>
  <c r="C44" i="13" s="1"/>
  <c r="C46" i="13" s="1"/>
  <c r="I15" i="15"/>
  <c r="E11" i="13"/>
  <c r="E10" i="13"/>
  <c r="E21" i="15"/>
  <c r="B15" i="15"/>
  <c r="B14" i="15"/>
  <c r="B31" i="15"/>
  <c r="B33" i="15"/>
  <c r="I17" i="15"/>
  <c r="B36" i="15"/>
  <c r="C36" i="15"/>
  <c r="B17" i="15"/>
  <c r="C17" i="15"/>
  <c r="C18" i="15"/>
  <c r="C21" i="15"/>
  <c r="D38" i="15"/>
  <c r="B41" i="15"/>
  <c r="C41" i="15"/>
  <c r="C33" i="15"/>
  <c r="D33" i="15"/>
  <c r="L17" i="15"/>
  <c r="J17" i="15"/>
  <c r="K17" i="15"/>
  <c r="K18" i="15"/>
  <c r="K20" i="15"/>
  <c r="J18" i="15"/>
  <c r="J20" i="15"/>
  <c r="B18" i="15"/>
  <c r="B21" i="15"/>
  <c r="D17" i="15"/>
  <c r="D18" i="15"/>
  <c r="D21" i="15"/>
  <c r="B42" i="15"/>
  <c r="B43" i="15"/>
  <c r="M17" i="15"/>
  <c r="I18" i="15"/>
  <c r="L18" i="15"/>
  <c r="C42" i="15"/>
  <c r="M18" i="15"/>
  <c r="I20" i="15"/>
  <c r="L20" i="15"/>
  <c r="B44" i="15"/>
  <c r="C43" i="15"/>
  <c r="B45" i="15"/>
  <c r="C44" i="15"/>
  <c r="C45" i="15"/>
  <c r="B46" i="15"/>
  <c r="B47" i="15"/>
  <c r="C46" i="15"/>
  <c r="C47" i="15"/>
  <c r="B48" i="15"/>
  <c r="B49" i="15"/>
  <c r="C48" i="15"/>
  <c r="B50" i="15"/>
  <c r="C49" i="15"/>
  <c r="B51" i="15"/>
  <c r="C50" i="15"/>
  <c r="B52" i="15"/>
  <c r="C51" i="15"/>
  <c r="B53" i="15"/>
  <c r="C52" i="15"/>
  <c r="B54" i="15"/>
  <c r="C53" i="15"/>
  <c r="B55" i="15"/>
  <c r="C54" i="15"/>
  <c r="B56" i="15"/>
  <c r="C55" i="15"/>
  <c r="B57" i="15"/>
  <c r="C56" i="15"/>
  <c r="B58" i="15"/>
  <c r="C57" i="15"/>
  <c r="B59" i="15"/>
  <c r="C58" i="15"/>
  <c r="B60" i="15"/>
  <c r="C59" i="15"/>
  <c r="B61" i="15"/>
  <c r="C60" i="15"/>
  <c r="B62" i="15"/>
  <c r="C61" i="15"/>
  <c r="B63" i="15"/>
  <c r="C62" i="15"/>
  <c r="B64" i="15"/>
  <c r="C63" i="15"/>
  <c r="B65" i="15"/>
  <c r="C64" i="15"/>
  <c r="B66" i="15"/>
  <c r="C65" i="15"/>
  <c r="B67" i="15"/>
  <c r="C66" i="15"/>
  <c r="B68" i="15"/>
  <c r="C67" i="15"/>
  <c r="B69" i="15"/>
  <c r="C68" i="15"/>
  <c r="B70" i="15"/>
  <c r="C69" i="15"/>
  <c r="B71" i="15"/>
  <c r="C70" i="15"/>
  <c r="B72" i="15"/>
  <c r="C71" i="15"/>
  <c r="B73" i="15"/>
  <c r="C72" i="15"/>
  <c r="B74" i="15"/>
  <c r="C73" i="15"/>
  <c r="B75" i="15"/>
  <c r="C74" i="15"/>
  <c r="B76" i="15"/>
  <c r="C75" i="15"/>
  <c r="B77" i="15"/>
  <c r="C76" i="15"/>
  <c r="B78" i="15"/>
  <c r="C77" i="15"/>
  <c r="B79" i="15"/>
  <c r="C78" i="15"/>
  <c r="B80" i="15"/>
  <c r="C79" i="15"/>
  <c r="B81" i="15"/>
  <c r="C80" i="15"/>
  <c r="B82" i="15"/>
  <c r="C81" i="15"/>
  <c r="B83" i="15"/>
  <c r="C82" i="15"/>
  <c r="B84" i="15"/>
  <c r="C83" i="15"/>
  <c r="B85" i="15"/>
  <c r="C84" i="15"/>
  <c r="B86" i="15"/>
  <c r="C85" i="15"/>
  <c r="B87" i="15"/>
  <c r="C86" i="15"/>
  <c r="B88" i="15"/>
  <c r="C87" i="15"/>
  <c r="B89" i="15"/>
  <c r="C88" i="15"/>
  <c r="B90" i="15"/>
  <c r="C89" i="15"/>
  <c r="B91" i="15"/>
  <c r="C90" i="15"/>
  <c r="B92" i="15"/>
  <c r="C91" i="15"/>
  <c r="B93" i="15"/>
  <c r="C92" i="15"/>
  <c r="B94" i="15"/>
  <c r="C93" i="15"/>
  <c r="B95" i="15"/>
  <c r="C94" i="15"/>
  <c r="B96" i="15"/>
  <c r="C95" i="15"/>
  <c r="B97" i="15"/>
  <c r="C96" i="15"/>
  <c r="B98" i="15"/>
  <c r="C97" i="15"/>
  <c r="B99" i="15"/>
  <c r="C98" i="15"/>
  <c r="B100" i="15"/>
  <c r="C99" i="15"/>
  <c r="B101" i="15"/>
  <c r="C100" i="15"/>
  <c r="B102" i="15"/>
  <c r="C101" i="15"/>
  <c r="B103" i="15"/>
  <c r="C102" i="15"/>
  <c r="B104" i="15"/>
  <c r="C103" i="15"/>
  <c r="B105" i="15"/>
  <c r="C104" i="15"/>
  <c r="B106" i="15"/>
  <c r="C105" i="15"/>
  <c r="B107" i="15"/>
  <c r="C106" i="15"/>
  <c r="B108" i="15"/>
  <c r="C107" i="15"/>
  <c r="B109" i="15"/>
  <c r="C108" i="15"/>
  <c r="B110" i="15"/>
  <c r="C109" i="15"/>
  <c r="B111" i="15"/>
  <c r="C110" i="15"/>
  <c r="B112" i="15"/>
  <c r="C111" i="15"/>
  <c r="B113" i="15"/>
  <c r="C112" i="15"/>
  <c r="B114" i="15"/>
  <c r="C113" i="15"/>
  <c r="B115" i="15"/>
  <c r="C114" i="15"/>
  <c r="B116" i="15"/>
  <c r="C115" i="15"/>
  <c r="B117" i="15"/>
  <c r="C116" i="15"/>
  <c r="B118" i="15"/>
  <c r="C117" i="15"/>
  <c r="B119" i="15"/>
  <c r="C118" i="15"/>
  <c r="B120" i="15"/>
  <c r="C119" i="15"/>
  <c r="B121" i="15"/>
  <c r="C120" i="15"/>
  <c r="B122" i="15"/>
  <c r="C121" i="15"/>
  <c r="B123" i="15"/>
  <c r="C122" i="15"/>
  <c r="B124" i="15"/>
  <c r="C123" i="15"/>
  <c r="C124" i="15"/>
  <c r="B125" i="15"/>
  <c r="B126" i="15"/>
  <c r="C125" i="15"/>
  <c r="B127" i="15"/>
  <c r="C126" i="15"/>
  <c r="B128" i="15"/>
  <c r="C127" i="15"/>
  <c r="C128" i="15"/>
  <c r="B129" i="15"/>
  <c r="B130" i="15"/>
  <c r="C129" i="15"/>
  <c r="C130" i="15"/>
  <c r="B131" i="15"/>
  <c r="B132" i="15"/>
  <c r="C131" i="15"/>
  <c r="C132" i="15"/>
  <c r="B133" i="15"/>
  <c r="B134" i="15"/>
  <c r="C133" i="15"/>
  <c r="C134" i="15"/>
  <c r="B135" i="15"/>
  <c r="B136" i="15"/>
  <c r="C135" i="15"/>
  <c r="C136" i="15"/>
  <c r="B137" i="15"/>
  <c r="B138" i="15"/>
  <c r="C137" i="15"/>
  <c r="C138" i="15"/>
  <c r="B139" i="15"/>
  <c r="B140" i="15"/>
  <c r="C139" i="15"/>
  <c r="C140" i="15"/>
  <c r="B141" i="15"/>
  <c r="B142" i="15"/>
  <c r="C141" i="15"/>
  <c r="C142" i="15"/>
  <c r="B143" i="15"/>
  <c r="B144" i="15"/>
  <c r="C143" i="15"/>
  <c r="C144" i="15"/>
  <c r="B145" i="15"/>
  <c r="B146" i="15"/>
  <c r="C145" i="15"/>
  <c r="C146" i="15"/>
  <c r="B147" i="15"/>
  <c r="B148" i="15"/>
  <c r="C147" i="15"/>
  <c r="B149" i="15"/>
  <c r="C148" i="15"/>
  <c r="C149" i="15"/>
  <c r="B150" i="15"/>
  <c r="B151" i="15"/>
  <c r="C150" i="15"/>
  <c r="B152" i="15"/>
  <c r="C151" i="15"/>
  <c r="B153" i="15"/>
  <c r="C152" i="15"/>
  <c r="C153" i="15"/>
  <c r="B154" i="15"/>
  <c r="C154" i="15"/>
  <c r="B155" i="15"/>
  <c r="C155" i="15"/>
  <c r="B156" i="15"/>
  <c r="C156" i="15"/>
  <c r="B157" i="15"/>
  <c r="C157" i="15"/>
  <c r="B158" i="15"/>
  <c r="C158" i="15"/>
  <c r="B159" i="15"/>
  <c r="B160" i="15"/>
  <c r="C159" i="15"/>
  <c r="B161" i="15"/>
  <c r="C160" i="15"/>
  <c r="B162" i="15"/>
  <c r="C161" i="15"/>
  <c r="B163" i="15"/>
  <c r="C162" i="15"/>
  <c r="B164" i="15"/>
  <c r="C163" i="15"/>
  <c r="B165" i="15"/>
  <c r="C164" i="15"/>
  <c r="B166" i="15"/>
  <c r="C165" i="15"/>
  <c r="B167" i="15"/>
  <c r="C166" i="15"/>
  <c r="B168" i="15"/>
  <c r="C167" i="15"/>
  <c r="C168" i="15"/>
  <c r="B169" i="15"/>
  <c r="C169" i="15"/>
  <c r="B170" i="15"/>
  <c r="C170" i="15"/>
  <c r="B171" i="15"/>
  <c r="C171" i="15"/>
  <c r="B172" i="15"/>
  <c r="B173" i="15"/>
  <c r="C172" i="15"/>
  <c r="B174" i="15"/>
  <c r="C173" i="15"/>
  <c r="B175" i="15"/>
  <c r="C174" i="15"/>
  <c r="B176" i="15"/>
  <c r="C175" i="15"/>
  <c r="B177" i="15"/>
  <c r="C176" i="15"/>
  <c r="B178" i="15"/>
  <c r="C177" i="15"/>
  <c r="B179" i="15"/>
  <c r="C178" i="15"/>
  <c r="B180" i="15"/>
  <c r="C179" i="15"/>
  <c r="B181" i="15"/>
  <c r="C181" i="15"/>
  <c r="C180" i="15"/>
  <c r="G3" i="18"/>
  <c r="H3" i="18" s="1"/>
  <c r="G4" i="18"/>
  <c r="H4" i="18" s="1"/>
  <c r="J97" i="14" l="1"/>
  <c r="C18" i="18"/>
  <c r="O56" i="14"/>
  <c r="R54" i="20"/>
  <c r="B11" i="19" s="1"/>
  <c r="B14" i="19" s="1"/>
  <c r="B1" i="21" s="1"/>
  <c r="K54" i="20"/>
  <c r="D60" i="20" s="1"/>
  <c r="B54" i="20"/>
  <c r="D59" i="20" s="1"/>
  <c r="C28" i="13"/>
  <c r="F24" i="14" s="1"/>
  <c r="F21" i="14"/>
  <c r="J99" i="14"/>
  <c r="O58" i="14"/>
  <c r="F25" i="14"/>
  <c r="C20" i="13"/>
  <c r="F20" i="14"/>
  <c r="H2" i="18"/>
  <c r="G6" i="18"/>
  <c r="A10" i="16"/>
  <c r="A24" i="16"/>
  <c r="C32" i="13"/>
  <c r="C27" i="13"/>
  <c r="F23" i="14" s="1"/>
  <c r="C45" i="13"/>
  <c r="C30" i="13"/>
  <c r="C19" i="18" s="1"/>
  <c r="D19" i="18" s="1"/>
  <c r="D18" i="18" l="1"/>
  <c r="D21" i="18" s="1"/>
  <c r="C21" i="18"/>
  <c r="C33" i="13" s="1"/>
  <c r="E13" i="13" s="1"/>
  <c r="D62" i="20"/>
  <c r="D66" i="20" s="1"/>
  <c r="B19" i="21"/>
  <c r="P19" i="21"/>
  <c r="D19" i="21"/>
  <c r="J19" i="21"/>
  <c r="G19" i="21"/>
  <c r="S19" i="21"/>
  <c r="M19" i="21"/>
  <c r="A20" i="16"/>
  <c r="C31" i="13"/>
  <c r="F27" i="14" s="1"/>
  <c r="F26" i="14"/>
  <c r="C10" i="18"/>
  <c r="C15" i="13" s="1"/>
  <c r="E19" i="13" s="1"/>
  <c r="C14" i="13"/>
  <c r="F28" i="14"/>
  <c r="F29" i="14" l="1"/>
  <c r="B10" i="19"/>
  <c r="B13" i="19" s="1"/>
  <c r="O89" i="14"/>
  <c r="O87" i="14"/>
  <c r="N98" i="14" s="1"/>
  <c r="F14" i="13"/>
  <c r="E20" i="13"/>
  <c r="E34" i="13" s="1"/>
  <c r="B21" i="19" l="1"/>
  <c r="B17" i="19"/>
  <c r="B20" i="19"/>
  <c r="B22" i="19"/>
  <c r="B19" i="19"/>
  <c r="B23" i="19"/>
  <c r="B18" i="19"/>
</calcChain>
</file>

<file path=xl/sharedStrings.xml><?xml version="1.0" encoding="utf-8"?>
<sst xmlns="http://schemas.openxmlformats.org/spreadsheetml/2006/main" count="445" uniqueCount="318">
  <si>
    <t>L/d</t>
  </si>
  <si>
    <t>ESP</t>
  </si>
  <si>
    <t>m</t>
  </si>
  <si>
    <r>
      <t>m</t>
    </r>
    <r>
      <rPr>
        <b/>
        <vertAlign val="superscript"/>
        <sz val="16"/>
        <rFont val="Arial"/>
        <family val="2"/>
      </rPr>
      <t>2</t>
    </r>
  </si>
  <si>
    <r>
      <t>m</t>
    </r>
    <r>
      <rPr>
        <b/>
        <vertAlign val="superscript"/>
        <sz val="16"/>
        <rFont val="Arial"/>
        <family val="2"/>
      </rPr>
      <t>3</t>
    </r>
  </si>
  <si>
    <t>Date:</t>
  </si>
  <si>
    <t>Attention:</t>
  </si>
  <si>
    <r>
      <t>L/m</t>
    </r>
    <r>
      <rPr>
        <b/>
        <vertAlign val="superscript"/>
        <sz val="16"/>
        <rFont val="Arial"/>
        <family val="2"/>
      </rPr>
      <t>2</t>
    </r>
    <r>
      <rPr>
        <b/>
        <sz val="16"/>
        <rFont val="Arial"/>
        <family val="2"/>
      </rPr>
      <t>.d</t>
    </r>
  </si>
  <si>
    <r>
      <t>m</t>
    </r>
    <r>
      <rPr>
        <vertAlign val="superscript"/>
        <sz val="14"/>
        <rFont val="Arial"/>
        <family val="2"/>
      </rPr>
      <t>2</t>
    </r>
  </si>
  <si>
    <r>
      <t>L/m</t>
    </r>
    <r>
      <rPr>
        <vertAlign val="superscript"/>
        <sz val="14"/>
        <rFont val="Arial"/>
        <family val="2"/>
      </rPr>
      <t>2</t>
    </r>
    <r>
      <rPr>
        <sz val="14"/>
        <rFont val="Arial"/>
        <family val="2"/>
      </rPr>
      <t>.d</t>
    </r>
  </si>
  <si>
    <r>
      <t>m</t>
    </r>
    <r>
      <rPr>
        <vertAlign val="superscript"/>
        <sz val="14"/>
        <rFont val="Arial"/>
        <family val="2"/>
      </rPr>
      <t>3</t>
    </r>
  </si>
  <si>
    <r>
      <t>E</t>
    </r>
    <r>
      <rPr>
        <vertAlign val="subscript"/>
        <sz val="12"/>
        <rFont val="Arial"/>
        <family val="2"/>
      </rPr>
      <t>CC</t>
    </r>
  </si>
  <si>
    <r>
      <t>E</t>
    </r>
    <r>
      <rPr>
        <vertAlign val="subscript"/>
        <sz val="12"/>
        <rFont val="Arial"/>
        <family val="2"/>
      </rPr>
      <t>L</t>
    </r>
  </si>
  <si>
    <r>
      <t>E</t>
    </r>
    <r>
      <rPr>
        <vertAlign val="subscript"/>
        <sz val="12"/>
        <rFont val="Arial"/>
        <family val="2"/>
      </rPr>
      <t>E</t>
    </r>
  </si>
  <si>
    <r>
      <t>S</t>
    </r>
    <r>
      <rPr>
        <vertAlign val="subscript"/>
        <sz val="12"/>
        <rFont val="Arial"/>
        <family val="2"/>
      </rPr>
      <t>Min</t>
    </r>
  </si>
  <si>
    <t>Project Name:</t>
  </si>
  <si>
    <t>Designer Name:</t>
  </si>
  <si>
    <t>Line</t>
  </si>
  <si>
    <t>Information required or element calculated</t>
  </si>
  <si>
    <t>Units</t>
  </si>
  <si>
    <t>Enter proper information in the green cells</t>
  </si>
  <si>
    <t>Then validate the configuration</t>
  </si>
  <si>
    <t>Instructions / comments</t>
  </si>
  <si>
    <t>Soil percolation time (T-Time)</t>
  </si>
  <si>
    <t>Min/cm</t>
  </si>
  <si>
    <t>Enter the receiving soil T-Time.</t>
  </si>
  <si>
    <t>Minimum number of Enviro-Septic Pipes</t>
  </si>
  <si>
    <r>
      <t>E</t>
    </r>
    <r>
      <rPr>
        <b/>
        <vertAlign val="subscript"/>
        <sz val="14"/>
        <rFont val="Arial"/>
        <family val="2"/>
      </rPr>
      <t>CC</t>
    </r>
    <r>
      <rPr>
        <b/>
        <sz val="14"/>
        <rFont val="Arial"/>
        <family val="2"/>
      </rPr>
      <t xml:space="preserve"> - Center to Center Spacing</t>
    </r>
  </si>
  <si>
    <r>
      <t>E</t>
    </r>
    <r>
      <rPr>
        <b/>
        <vertAlign val="subscript"/>
        <sz val="14"/>
        <rFont val="Arial"/>
        <family val="2"/>
      </rPr>
      <t>E</t>
    </r>
    <r>
      <rPr>
        <b/>
        <sz val="14"/>
        <rFont val="Arial"/>
        <family val="2"/>
      </rPr>
      <t xml:space="preserve"> - Extremity Extension Distance</t>
    </r>
  </si>
  <si>
    <t>Total number of Enviro-Septic Pipes</t>
  </si>
  <si>
    <t>Total length of Enviro-Septic Pipes</t>
  </si>
  <si>
    <t>Hydraulic Loading Rate (HLR)</t>
  </si>
  <si>
    <t xml:space="preserve">Final Configuration Validation </t>
  </si>
  <si>
    <t>Estimation of the Volume of System Sand Required</t>
  </si>
  <si>
    <t>Estimation of the Volume of Imported Sand Required</t>
  </si>
  <si>
    <t>Enter the number of rows of the configuration wanted.</t>
  </si>
  <si>
    <t>L</t>
  </si>
  <si>
    <t>Center to Center Spacing</t>
  </si>
  <si>
    <t>Lateral Extension Distance</t>
  </si>
  <si>
    <t>Extremity Extension Distance</t>
  </si>
  <si>
    <t>Condition</t>
  </si>
  <si>
    <t>Vérification des sections</t>
  </si>
  <si>
    <t>Quotient du nombre de rangées sur le nombre de section</t>
  </si>
  <si>
    <t>Arrondi suppérieur du quotient précédent</t>
  </si>
  <si>
    <t>Différence entre le quotient et l'arrondi</t>
  </si>
  <si>
    <r>
      <t>S</t>
    </r>
    <r>
      <rPr>
        <b/>
        <i/>
        <vertAlign val="subscript"/>
        <sz val="12"/>
        <rFont val="Arial"/>
        <family val="2"/>
      </rPr>
      <t>min</t>
    </r>
    <r>
      <rPr>
        <b/>
        <i/>
        <sz val="12"/>
        <rFont val="Arial"/>
        <family val="2"/>
      </rPr>
      <t xml:space="preserve"> - Minimum Vertical Separation </t>
    </r>
  </si>
  <si>
    <t>This value represent the product of the total number of pipes required by the length of one pipe.</t>
  </si>
  <si>
    <t>Element</t>
  </si>
  <si>
    <t>Value</t>
  </si>
  <si>
    <t>Legend</t>
  </si>
  <si>
    <t>Estimation of the Volume of                    System Sand Required</t>
  </si>
  <si>
    <t>Estimation of the Volume of                    Imported Sand Required</t>
  </si>
  <si>
    <r>
      <t>S</t>
    </r>
    <r>
      <rPr>
        <vertAlign val="subscript"/>
        <sz val="12"/>
        <rFont val="Arial"/>
        <family val="2"/>
      </rPr>
      <t>D</t>
    </r>
  </si>
  <si>
    <t>Separation distance under the system</t>
  </si>
  <si>
    <r>
      <t>D</t>
    </r>
    <r>
      <rPr>
        <vertAlign val="subscript"/>
        <sz val="12"/>
        <rFont val="Arial"/>
        <family val="2"/>
      </rPr>
      <t>S</t>
    </r>
  </si>
  <si>
    <r>
      <t>I</t>
    </r>
    <r>
      <rPr>
        <vertAlign val="subscript"/>
        <sz val="12"/>
        <rFont val="Arial"/>
        <family val="2"/>
      </rPr>
      <t>S</t>
    </r>
  </si>
  <si>
    <t>Thickness of imported sand layer</t>
  </si>
  <si>
    <t>Project:</t>
  </si>
  <si>
    <t>Minimum Vertical Separation distance form the base of the system to Rock, Clay or Water Table</t>
  </si>
  <si>
    <t>Designer:</t>
  </si>
  <si>
    <t>The designer is responsible to conform to all applicable laws and to all Enviro-Septic design rules.  This simulator is provided free of charge as a configuration development tool and the user understands that DBO Expert inc. cannot be held responsible for errors or omissions because of this service.</t>
  </si>
  <si>
    <t>(Drawing incomplete and not to scale )</t>
  </si>
  <si>
    <t>This value represent the product of the number of pipes per row by the lenght of one pipe.</t>
  </si>
  <si>
    <t>y</t>
  </si>
  <si>
    <t>x</t>
  </si>
  <si>
    <t>données pour le graphique</t>
  </si>
  <si>
    <t>sommet</t>
  </si>
  <si>
    <t>x2 =</t>
  </si>
  <si>
    <t>x1 =</t>
  </si>
  <si>
    <t>foyer2</t>
  </si>
  <si>
    <t>foyer1</t>
  </si>
  <si>
    <t>Racines</t>
  </si>
  <si>
    <t>D =</t>
  </si>
  <si>
    <t>c =</t>
  </si>
  <si>
    <t>b =</t>
  </si>
  <si>
    <t>a =</t>
  </si>
  <si>
    <t>Vous pouvez modifier les valeurs en jaune seulement.</t>
  </si>
  <si>
    <t>équation quadratique y = ax²+bx+c</t>
  </si>
  <si>
    <t>Estimer ECC si ECC = 2 EL et ECC = 2 *(EE+0,15)</t>
  </si>
  <si>
    <t>Dans l'équation quadratique (ax2 + bx + c = 0)</t>
  </si>
  <si>
    <t>b= (Longueur d'une rangée * Nombre de rangée) - (0,3 * Nombre de rangée)</t>
  </si>
  <si>
    <t>c= Aire du lit d'absorption</t>
  </si>
  <si>
    <t>a=</t>
  </si>
  <si>
    <t>b=</t>
  </si>
  <si>
    <t>c=</t>
  </si>
  <si>
    <t>a= nombre de rangée Enviro-Septic par section</t>
  </si>
  <si>
    <t>Avec pente de 0 à 3 %</t>
  </si>
  <si>
    <t>Avec Pente de &gt; à 3%</t>
  </si>
  <si>
    <t>Ecc</t>
  </si>
  <si>
    <t>El</t>
  </si>
  <si>
    <t>Ee</t>
  </si>
  <si>
    <t>Calculé</t>
  </si>
  <si>
    <t>Retenu</t>
  </si>
  <si>
    <t>El2</t>
  </si>
  <si>
    <t>Depth of receiving soil before limiting condition</t>
  </si>
  <si>
    <t>W=</t>
  </si>
  <si>
    <t>This value represent the product of the number of rows by the number of pipes per rows (line 12 x line 13). An error message will appear if the result is smaller than the minimum number of pipes required shown at line 10.</t>
  </si>
  <si>
    <t>Retenu Final</t>
  </si>
  <si>
    <t>W-Largeur</t>
  </si>
  <si>
    <t>1er ajustement</t>
  </si>
  <si>
    <t>El1</t>
  </si>
  <si>
    <t>Quantity</t>
  </si>
  <si>
    <t>Product</t>
  </si>
  <si>
    <t>Advanced Enviro-Septic pipe (Linear foot)</t>
  </si>
  <si>
    <t>Enviro-Septic Coupling</t>
  </si>
  <si>
    <t>ESP, Piezovent, double adaptor</t>
  </si>
  <si>
    <t>Piezometer End Caps</t>
  </si>
  <si>
    <t>ESP, Sample Device</t>
  </si>
  <si>
    <t xml:space="preserve"> </t>
  </si>
  <si>
    <t>Total</t>
  </si>
  <si>
    <t>System O)) Quotation</t>
  </si>
  <si>
    <t>Nested pipe configuration</t>
  </si>
  <si>
    <t>Row Inlet Kit (Parts A-B-C)</t>
  </si>
  <si>
    <r>
      <t>E</t>
    </r>
    <r>
      <rPr>
        <vertAlign val="subscript"/>
        <sz val="14"/>
        <rFont val="Arial"/>
        <family val="2"/>
      </rPr>
      <t>E</t>
    </r>
    <r>
      <rPr>
        <sz val="14"/>
        <rFont val="Arial"/>
        <family val="2"/>
      </rPr>
      <t>=</t>
    </r>
  </si>
  <si>
    <r>
      <t>E</t>
    </r>
    <r>
      <rPr>
        <vertAlign val="subscript"/>
        <sz val="14"/>
        <rFont val="Arial"/>
        <family val="2"/>
      </rPr>
      <t>CC</t>
    </r>
    <r>
      <rPr>
        <sz val="14"/>
        <rFont val="Arial"/>
        <family val="2"/>
      </rPr>
      <t>=</t>
    </r>
  </si>
  <si>
    <r>
      <t>D</t>
    </r>
    <r>
      <rPr>
        <vertAlign val="subscript"/>
        <sz val="14"/>
        <rFont val="Arial"/>
        <family val="2"/>
      </rPr>
      <t>S</t>
    </r>
    <r>
      <rPr>
        <sz val="14"/>
        <rFont val="Arial"/>
        <family val="2"/>
      </rPr>
      <t>=</t>
    </r>
  </si>
  <si>
    <r>
      <t>I</t>
    </r>
    <r>
      <rPr>
        <vertAlign val="subscript"/>
        <sz val="14"/>
        <rFont val="Arial"/>
        <family val="2"/>
      </rPr>
      <t>S</t>
    </r>
    <r>
      <rPr>
        <sz val="14"/>
        <rFont val="Arial"/>
        <family val="2"/>
      </rPr>
      <t>=</t>
    </r>
  </si>
  <si>
    <t>VRAI/FAUX</t>
  </si>
  <si>
    <t>Résultat</t>
  </si>
  <si>
    <t>à écrire</t>
  </si>
  <si>
    <t>Imported sand</t>
  </si>
  <si>
    <t>NESTED PIPES</t>
  </si>
  <si>
    <t>Formule applicable</t>
  </si>
  <si>
    <t>LAES</t>
  </si>
  <si>
    <t>Q/75</t>
  </si>
  <si>
    <t>Q/50</t>
  </si>
  <si>
    <t>Q/30</t>
  </si>
  <si>
    <t>EL- Lateral Extension distance</t>
  </si>
  <si>
    <t>This value represent the length of a trench of pipes plus the two Extremity Extension Distances</t>
  </si>
  <si>
    <t>The minimum value of the extremity extension spacing  is 0,3 m.</t>
  </si>
  <si>
    <t>Number of trenches of nested pipes</t>
  </si>
  <si>
    <t>Minimum length of trench</t>
  </si>
  <si>
    <t>Number of Enviro-Septic Pipes per trench</t>
  </si>
  <si>
    <t>Total length of a trench of Enviro-Septic Pipes</t>
  </si>
  <si>
    <t>Total  Contact Area per trench</t>
  </si>
  <si>
    <t>Number of trench of Enviro-Septic Pipes</t>
  </si>
  <si>
    <t>trench</t>
  </si>
  <si>
    <t>L1 - Total length of the system</t>
  </si>
  <si>
    <t>W1 - Total width of the system</t>
  </si>
  <si>
    <t>Trenches</t>
  </si>
  <si>
    <t>Imported sand is required only when T &lt; 20</t>
  </si>
  <si>
    <t>This value represent the total length of the system.</t>
  </si>
  <si>
    <t>This value represent the total width of the complete system.</t>
  </si>
  <si>
    <t>Total length of a trench</t>
  </si>
  <si>
    <t>Total width of a trench</t>
  </si>
  <si>
    <t>Total contact area of one trench</t>
  </si>
  <si>
    <t>Total length of the system</t>
  </si>
  <si>
    <t>Total width of the system</t>
  </si>
  <si>
    <t>W</t>
  </si>
  <si>
    <t>L1</t>
  </si>
  <si>
    <t>L and L1=</t>
  </si>
  <si>
    <t>EL =</t>
  </si>
  <si>
    <r>
      <t>E</t>
    </r>
    <r>
      <rPr>
        <vertAlign val="subscript"/>
        <sz val="14"/>
        <rFont val="Arial"/>
        <family val="2"/>
      </rPr>
      <t>L</t>
    </r>
    <r>
      <rPr>
        <sz val="14"/>
        <rFont val="Arial"/>
        <family val="2"/>
      </rPr>
      <t xml:space="preserve"> =</t>
    </r>
  </si>
  <si>
    <t>Top view of system in nested pipe configuration</t>
  </si>
  <si>
    <t>W1</t>
  </si>
  <si>
    <t>W =</t>
  </si>
  <si>
    <t>System Cross section in nested pipe configuration</t>
  </si>
  <si>
    <t>MAX. 0,2 m - 0,67 ft</t>
  </si>
  <si>
    <r>
      <t>W</t>
    </r>
    <r>
      <rPr>
        <vertAlign val="subscript"/>
        <sz val="16"/>
        <rFont val="Arial"/>
        <family val="2"/>
      </rPr>
      <t>1</t>
    </r>
    <r>
      <rPr>
        <sz val="16"/>
        <rFont val="Arial"/>
        <family val="2"/>
      </rPr>
      <t>=</t>
    </r>
  </si>
  <si>
    <r>
      <t>W</t>
    </r>
    <r>
      <rPr>
        <vertAlign val="subscript"/>
        <sz val="14"/>
        <rFont val="Arial"/>
        <family val="2"/>
      </rPr>
      <t>1</t>
    </r>
    <r>
      <rPr>
        <sz val="14"/>
        <rFont val="Arial"/>
        <family val="2"/>
      </rPr>
      <t xml:space="preserve"> =</t>
    </r>
  </si>
  <si>
    <t>Number of trenches</t>
  </si>
  <si>
    <t>Number of AES pipe per trench</t>
  </si>
  <si>
    <t>Infos</t>
  </si>
  <si>
    <t>Number of pipes</t>
  </si>
  <si>
    <t>pipes</t>
  </si>
  <si>
    <t>Distance between pump chamber and System O)) bed</t>
  </si>
  <si>
    <t>Height between pump chamber and System O)) bed</t>
  </si>
  <si>
    <t>Minimal operation point</t>
  </si>
  <si>
    <t>Head loss</t>
  </si>
  <si>
    <t xml:space="preserve">Flow </t>
  </si>
  <si>
    <t>L/s</t>
  </si>
  <si>
    <t>ft</t>
  </si>
  <si>
    <t>gpm</t>
  </si>
  <si>
    <t>O-TSA</t>
  </si>
  <si>
    <t>10m</t>
  </si>
  <si>
    <t>20m</t>
  </si>
  <si>
    <t>30m</t>
  </si>
  <si>
    <t>m/10m lin</t>
  </si>
  <si>
    <t>nb conduite</t>
  </si>
  <si>
    <t>0 m</t>
  </si>
  <si>
    <t>1A</t>
  </si>
  <si>
    <t>1B</t>
  </si>
  <si>
    <t>1C</t>
  </si>
  <si>
    <t>1D</t>
  </si>
  <si>
    <t>1E</t>
  </si>
  <si>
    <t>2A</t>
  </si>
  <si>
    <t>2B</t>
  </si>
  <si>
    <t>3A</t>
  </si>
  <si>
    <t>3B</t>
  </si>
  <si>
    <t>3C</t>
  </si>
  <si>
    <t>4A</t>
  </si>
  <si>
    <t>4B</t>
  </si>
  <si>
    <t>4C</t>
  </si>
  <si>
    <t>4D</t>
  </si>
  <si>
    <t>5A</t>
  </si>
  <si>
    <t>5B</t>
  </si>
  <si>
    <t>5C</t>
  </si>
  <si>
    <t>6A</t>
  </si>
  <si>
    <t>6B</t>
  </si>
  <si>
    <t>6C</t>
  </si>
  <si>
    <t>4x6</t>
  </si>
  <si>
    <t>8x3</t>
  </si>
  <si>
    <t>6x4</t>
  </si>
  <si>
    <t>5x5</t>
  </si>
  <si>
    <t>6x4,5</t>
  </si>
  <si>
    <t>9x3</t>
  </si>
  <si>
    <t>11x2,5</t>
  </si>
  <si>
    <t>Équation 0 m :</t>
  </si>
  <si>
    <t>Équation m/10 m linéaire</t>
  </si>
  <si>
    <t>Équation débit</t>
  </si>
  <si>
    <t>m/10 m</t>
  </si>
  <si>
    <t>Perte de charge totale :</t>
  </si>
  <si>
    <t>Perte initiale</t>
  </si>
  <si>
    <t>Perte par 10 m</t>
  </si>
  <si>
    <t>Perte totale</t>
  </si>
  <si>
    <t>Facteur sécurité</t>
  </si>
  <si>
    <t>Perte totale + sécu</t>
  </si>
  <si>
    <t>Zoeller 151</t>
  </si>
  <si>
    <t>Zoeller 152</t>
  </si>
  <si>
    <t>Zoeller 153</t>
  </si>
  <si>
    <t>Liberty 250</t>
  </si>
  <si>
    <t>Liberty 280</t>
  </si>
  <si>
    <t>Liberty 290</t>
  </si>
  <si>
    <t>GPM</t>
  </si>
  <si>
    <t>Ft</t>
  </si>
  <si>
    <t>System O)) Configuration Simulator - BMEC Authorization of July 26 2023 (#23-06-408)</t>
  </si>
  <si>
    <t>Q/24</t>
  </si>
  <si>
    <t>cond. Amenée</t>
  </si>
  <si>
    <t>mm</t>
  </si>
  <si>
    <t>Pour conduite de refoulement de:</t>
  </si>
  <si>
    <t>Rayon</t>
  </si>
  <si>
    <t>Pump calculator</t>
  </si>
  <si>
    <t xml:space="preserve">            </t>
  </si>
  <si>
    <t>Total :</t>
  </si>
  <si>
    <t>Dose volume</t>
  </si>
  <si>
    <t>Pump chamber</t>
  </si>
  <si>
    <t>Enter the number of pipes per row for the configuration wanted. This number should be between 1 and 10.</t>
  </si>
  <si>
    <t>Enter the System O)) Design Flow as determined from 8.2.1.3 of the Ontario On-Site Sewage Systems Code.</t>
  </si>
  <si>
    <t>Center to center spacing needs to be minimum 2 m for nested pipe configuration</t>
  </si>
  <si>
    <t xml:space="preserve">Lateral extension distance needs to be 0,3 m or more. </t>
  </si>
  <si>
    <t>This value represent the total System O)) Contact Area for each independant trench</t>
  </si>
  <si>
    <t>This value represent the total System O)) Contact Area.</t>
  </si>
  <si>
    <t>The Hydraulic Loading Rate represent the volume of water per square meter per day based on the Total Design Daily Flow and the Total System O)) Contact Area.</t>
  </si>
  <si>
    <t>Total System O)) Contact Area</t>
  </si>
  <si>
    <t>L - Length of one trench of the System O))</t>
  </si>
  <si>
    <t>W - Width of one trench of the System O))</t>
  </si>
  <si>
    <t>Enter System O)) Design Flow</t>
  </si>
  <si>
    <t>System O)) Design Flow</t>
  </si>
  <si>
    <t>Length of one trench of the System O))</t>
  </si>
  <si>
    <t>Width of one trench of the System O))</t>
  </si>
  <si>
    <t>y=-0,0104*x^2+0,1091*x+25,844</t>
  </si>
  <si>
    <t>y= -0,0027*x^2 -0,2993*x + 38,298</t>
  </si>
  <si>
    <t>y = -0,0015*x^2 - 0,3913*x + 44,421</t>
  </si>
  <si>
    <t>y = 7,8063E-18*x^4 - 9,2593E-06*x^3 - 5,5556E-03*x^2-1,3876E-01*x + 2,2992E+01</t>
  </si>
  <si>
    <t>Tête</t>
  </si>
  <si>
    <t>Flow :</t>
  </si>
  <si>
    <t>y=-6,4742E-07*x^4+7,2798E-05*x^3-7,4839E-03*x^2-1,7471E-01*x+3,6982E+01</t>
  </si>
  <si>
    <t>Liberty FL50</t>
  </si>
  <si>
    <t>Dose recommanded</t>
  </si>
  <si>
    <t>Min length</t>
  </si>
  <si>
    <t>Pump chamber informations</t>
  </si>
  <si>
    <t>Nb pipes</t>
  </si>
  <si>
    <t>Q/126</t>
  </si>
  <si>
    <t>Length/3,05</t>
  </si>
  <si>
    <t>This value represent the minimum number of Enviro-Septic pipes required to have the minimum length required or the minimum pipes in with the daily flow</t>
  </si>
  <si>
    <t>"OK/ will be shown when all System O)) design rules of the configuration simulator have been met.</t>
  </si>
  <si>
    <t>The volume of system sand required is the product of the length by the width by the number of trench and by the thickness of the sand layer from which we subtract the volume of the Enviro-Septic Pipes. If T &gt; 20, 30 cm of system sand is added between the trenches.</t>
  </si>
  <si>
    <t>Number of sections</t>
  </si>
  <si>
    <t>Feeding kit (per system)</t>
  </si>
  <si>
    <t>Green pvc 1 1/2 pre-perforated pipe (Linear foot)</t>
  </si>
  <si>
    <t>Green PVC 1 1/2 non-perforated pipe (Linear foot)</t>
  </si>
  <si>
    <t>*Or equivalent</t>
  </si>
  <si>
    <t xml:space="preserve">Minimum Vertical Separation as measured from the bottom of the System O)) must be 0,6 m
</t>
  </si>
  <si>
    <r>
      <t>D</t>
    </r>
    <r>
      <rPr>
        <b/>
        <i/>
        <vertAlign val="subscript"/>
        <sz val="12"/>
        <rFont val="Arial"/>
        <family val="2"/>
      </rPr>
      <t>S</t>
    </r>
    <r>
      <rPr>
        <b/>
        <i/>
        <sz val="12"/>
        <rFont val="Arial"/>
        <family val="2"/>
      </rPr>
      <t xml:space="preserve"> - Depth of receiving soil before limiting condition</t>
    </r>
  </si>
  <si>
    <t>0,1 m - 0,33 ft</t>
  </si>
  <si>
    <t>Type of sand:</t>
  </si>
  <si>
    <t>Pump selection*</t>
  </si>
  <si>
    <t>Pump chamber minimum volume**</t>
  </si>
  <si>
    <t>https://www.oowa.org/wp-content/uploads/2022/05/Shallow-Buried-Trench-Best-Practices-FINAL-March2019.pdf</t>
  </si>
  <si>
    <t>**As recommended from the Shallow buried trench Guidance Document from The Ontario Onsite Wastewater Association</t>
  </si>
  <si>
    <t>Rapport sur la compatibilité concernant Copie de 1 A1 Copy of Nested pipe configuration-Contractor Aug 11 2023-2003.xls</t>
  </si>
  <si>
    <t>Exécuté le 2023-08-14 10:05</t>
  </si>
  <si>
    <t>Les fonctionnalités répertoriées ne seront pas disponibles si vous ouvrez le classeur dans une version antérieure d’Microsoft Excel ou si vous l’enregistrez dans un format de fichier antérieur.</t>
  </si>
  <si>
    <t>Perte significative de fonctionnalité</t>
  </si>
  <si>
    <t>Nb d'occurrences</t>
  </si>
  <si>
    <t>Version</t>
  </si>
  <si>
    <t>Certaines cellules contiennent une mise en forme conditionnelle avec l'option « Interrompre si Vrai » désactivée. Les versions antérieures d'Excel ne reconnaissent pas cette option et s'interrompront après la première condition vraie.</t>
  </si>
  <si>
    <t>Pump calculator'!B17:B23</t>
  </si>
  <si>
    <t>Excel 97-2003</t>
  </si>
  <si>
    <t>Dans les versions antérieures d’Excel, seules les couleurs de ligne de la palette de couleurs sont prises en charge. Lors de l’ouverture du classeur dans une version antérieure d’Excel, chaque couleur de ligne est mise en correspondance avec la couleur la plus proche de la palette de couleurs. Un graphique peut ainsi afficher plusieurs séries dans la même couleur.</t>
  </si>
  <si>
    <t>Pump calculator'!A1:G30</t>
  </si>
  <si>
    <t xml:space="preserve">Une ou plusieurs références externes ont des chemins d’accès de fichiers de plus de 218 caractères. Ces références seront supprimées. </t>
  </si>
  <si>
    <t>Perte mineure de fidélité</t>
  </si>
  <si>
    <t>Certaines cellules ou certains styles de ce classeur contiennent une mise en forme qui n'est pas prise en charge par le format de fichier sélectionné. Ces formats seront convertis au format le plus proche disponible.</t>
  </si>
  <si>
    <t>Un ou plusieurs objets de ce classeur (tels que des formes, un objet WordArt ou des zones de texte) peuvent autoriser les débordements de texte en dehors des limites de l’objet. Les versions antérieures d’Excel ne reconnaissent pas cette option et vont masquer le texte qui déborde.</t>
  </si>
  <si>
    <t>ESP Leaching Bed'!A1:L53</t>
  </si>
  <si>
    <t>Exécuté le 2023-08-14 10:23</t>
  </si>
  <si>
    <t>Summary - Leaching Bed'!F16:F29</t>
  </si>
  <si>
    <t>Summary - Leaching Bed'!O56</t>
  </si>
  <si>
    <t>Summary - Leaching Bed'!O58</t>
  </si>
  <si>
    <t>Summary - Leaching Bed'!I67</t>
  </si>
  <si>
    <t>Summary - Leaching Bed'!O95</t>
  </si>
  <si>
    <t>Pump calculator'!D4</t>
  </si>
  <si>
    <t>Pump calculator'!B26:B27</t>
  </si>
  <si>
    <t>Ce classeur contient des informations de lien de classeur qui seront perdues ou ne seront pas visibles si vous enregistrez le fichier dans un format Excel antérieur.</t>
  </si>
  <si>
    <t>Excel 2007</t>
  </si>
  <si>
    <t>Excel 2010</t>
  </si>
  <si>
    <t>Excel 2013</t>
  </si>
  <si>
    <t>Excel 2016</t>
  </si>
  <si>
    <t>Excel 2019</t>
  </si>
  <si>
    <t>Excel 2021</t>
  </si>
  <si>
    <t>The designer is responsible to conform to all applicable laws and to all Enviro-Septic design rules.  This simulator is provided free of charge as a configuration development tool and the user understands that DBO Expert inc. and its distributors cannot be held responsible for errors or omissions because of this service.</t>
  </si>
  <si>
    <t>T time</t>
  </si>
  <si>
    <t>Ds</t>
  </si>
  <si>
    <t xml:space="preserve">Volume </t>
  </si>
  <si>
    <t>Height</t>
  </si>
  <si>
    <t>total</t>
  </si>
  <si>
    <t>Version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</si>
</sst>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00"/>
  </numFmts>
  <fonts count="48"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4"/>
      <name val="Arial"/>
      <family val="2"/>
    </font>
    <font>
      <b/>
      <sz val="12"/>
      <name val="Arial"/>
      <family val="2"/>
    </font>
    <font>
      <b/>
      <sz val="16"/>
      <name val="Arial"/>
      <family val="2"/>
    </font>
    <font>
      <b/>
      <vertAlign val="superscript"/>
      <sz val="16"/>
      <name val="Arial"/>
      <family val="2"/>
    </font>
    <font>
      <b/>
      <sz val="22"/>
      <name val="Arial"/>
      <family val="2"/>
    </font>
    <font>
      <b/>
      <vertAlign val="subscript"/>
      <sz val="14"/>
      <name val="Arial"/>
      <family val="2"/>
    </font>
    <font>
      <sz val="16"/>
      <name val="Arial"/>
      <family val="2"/>
    </font>
    <font>
      <sz val="12"/>
      <name val="Arial"/>
      <family val="2"/>
    </font>
    <font>
      <sz val="14"/>
      <name val="Arial"/>
      <family val="2"/>
    </font>
    <font>
      <vertAlign val="subscript"/>
      <sz val="16"/>
      <name val="Arial"/>
      <family val="2"/>
    </font>
    <font>
      <u/>
      <sz val="18"/>
      <name val="Arial"/>
      <family val="2"/>
    </font>
    <font>
      <b/>
      <i/>
      <sz val="12"/>
      <name val="Arial"/>
      <family val="2"/>
    </font>
    <font>
      <b/>
      <i/>
      <vertAlign val="subscript"/>
      <sz val="12"/>
      <name val="Arial"/>
      <family val="2"/>
    </font>
    <font>
      <b/>
      <sz val="18"/>
      <color indexed="10"/>
      <name val="Arial"/>
      <family val="2"/>
    </font>
    <font>
      <sz val="8"/>
      <name val="Arial"/>
      <family val="2"/>
    </font>
    <font>
      <vertAlign val="superscript"/>
      <sz val="14"/>
      <name val="Arial"/>
      <family val="2"/>
    </font>
    <font>
      <vertAlign val="subscript"/>
      <sz val="12"/>
      <name val="Arial"/>
      <family val="2"/>
    </font>
    <font>
      <b/>
      <i/>
      <sz val="16"/>
      <name val="Arial"/>
      <family val="2"/>
    </font>
    <font>
      <sz val="10"/>
      <name val="Calibri"/>
      <family val="2"/>
    </font>
    <font>
      <sz val="24"/>
      <name val="Arial"/>
      <family val="2"/>
    </font>
    <font>
      <sz val="10"/>
      <color indexed="9"/>
      <name val="Arial"/>
      <family val="2"/>
    </font>
    <font>
      <sz val="10"/>
      <name val="Times New Roman"/>
      <family val="1"/>
    </font>
    <font>
      <sz val="10"/>
      <name val="Symbol"/>
      <family val="1"/>
      <charset val="2"/>
    </font>
    <font>
      <sz val="22"/>
      <name val="Arial"/>
      <family val="2"/>
    </font>
    <font>
      <sz val="11"/>
      <name val="Arial"/>
      <family val="2"/>
    </font>
    <font>
      <vertAlign val="subscript"/>
      <sz val="14"/>
      <name val="Arial"/>
      <family val="2"/>
    </font>
    <font>
      <sz val="18"/>
      <name val="Arial"/>
      <family val="2"/>
    </font>
    <font>
      <sz val="11"/>
      <color theme="1"/>
      <name val="Calibri"/>
      <family val="2"/>
      <scheme val="minor"/>
    </font>
    <font>
      <u/>
      <sz val="10"/>
      <color theme="10"/>
      <name val="Arial"/>
      <family val="2"/>
    </font>
    <font>
      <b/>
      <sz val="11"/>
      <color theme="1"/>
      <name val="Calibri"/>
      <family val="2"/>
      <scheme val="minor"/>
    </font>
    <font>
      <sz val="13"/>
      <name val="Calibri"/>
      <family val="2"/>
      <scheme val="minor"/>
    </font>
    <font>
      <b/>
      <sz val="12"/>
      <color theme="1"/>
      <name val="Calibri"/>
      <family val="2"/>
      <scheme val="minor"/>
    </font>
    <font>
      <sz val="20"/>
      <color rgb="FFFF0000"/>
      <name val="Arial"/>
      <family val="2"/>
    </font>
    <font>
      <sz val="14"/>
      <color rgb="FFFF0000"/>
      <name val="Arial"/>
      <family val="2"/>
    </font>
    <font>
      <sz val="11"/>
      <color rgb="FF040C28"/>
      <name val="Calibri"/>
      <family val="2"/>
      <scheme val="minor"/>
    </font>
    <font>
      <sz val="11"/>
      <color theme="1"/>
      <name val="Calibri"/>
      <family val="2"/>
    </font>
    <font>
      <b/>
      <sz val="14"/>
      <color theme="1"/>
      <name val="Calibri"/>
      <family val="2"/>
      <scheme val="minor"/>
    </font>
    <font>
      <sz val="12"/>
      <color rgb="FFFF0000"/>
      <name val="Arial"/>
      <family val="2"/>
    </font>
    <font>
      <sz val="17"/>
      <name val="Calibri"/>
      <family val="2"/>
      <scheme val="minor"/>
    </font>
    <font>
      <b/>
      <u/>
      <sz val="13"/>
      <name val="Calibri"/>
      <family val="2"/>
      <scheme val="minor"/>
    </font>
    <font>
      <b/>
      <u/>
      <sz val="10"/>
      <color theme="10"/>
      <name val="Arial"/>
      <family val="2"/>
    </font>
    <font>
      <sz val="11"/>
      <name val="Calibri"/>
      <family val="2"/>
      <scheme val="minor"/>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CCFFCC"/>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s>
  <cellStyleXfs count="6">
    <xf numFmtId="0" fontId="0" fillId="0" borderId="0"/>
    <xf numFmtId="0" fontId="34" fillId="0" borderId="0" applyNumberFormat="0" applyFill="0" applyBorder="0" applyAlignment="0" applyProtection="0"/>
    <xf numFmtId="44" fontId="1" fillId="0" borderId="0" applyFont="0" applyFill="0" applyBorder="0" applyAlignment="0" applyProtection="0"/>
    <xf numFmtId="0" fontId="1" fillId="0" borderId="0"/>
    <xf numFmtId="0" fontId="33" fillId="0" borderId="0"/>
    <xf numFmtId="9" fontId="1" fillId="0" borderId="0" applyFont="0" applyFill="0" applyBorder="0" applyAlignment="0" applyProtection="0"/>
  </cellStyleXfs>
  <cellXfs count="292">
    <xf numFmtId="0" fontId="0" fillId="0" borderId="0" xfId="0"/>
    <xf numFmtId="0" fontId="0" fillId="0" borderId="0" xfId="0" applyProtection="1">
      <protection hidden="1"/>
    </xf>
    <xf numFmtId="0" fontId="5" fillId="0" borderId="0" xfId="0" applyFont="1" applyProtection="1">
      <protection hidden="1"/>
    </xf>
    <xf numFmtId="0" fontId="7" fillId="0" borderId="1" xfId="0" applyFont="1" applyBorder="1" applyAlignment="1" applyProtection="1">
      <alignment horizontal="left" vertical="top" wrapText="1"/>
      <protection hidden="1"/>
    </xf>
    <xf numFmtId="0" fontId="6" fillId="0" borderId="0" xfId="0" applyFont="1" applyAlignment="1" applyProtection="1">
      <alignment horizontal="right"/>
      <protection hidden="1"/>
    </xf>
    <xf numFmtId="0" fontId="8" fillId="2"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hidden="1"/>
    </xf>
    <xf numFmtId="2" fontId="8" fillId="3" borderId="1" xfId="0" applyNumberFormat="1" applyFont="1" applyFill="1" applyBorder="1" applyAlignment="1" applyProtection="1">
      <alignment horizontal="center" vertical="center"/>
      <protection hidden="1"/>
    </xf>
    <xf numFmtId="164" fontId="8" fillId="3" borderId="1" xfId="0" applyNumberFormat="1"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12" fillId="0" borderId="0" xfId="0" applyFont="1" applyProtection="1">
      <protection hidden="1"/>
    </xf>
    <xf numFmtId="0" fontId="10" fillId="0" borderId="0" xfId="0" applyFont="1" applyProtection="1">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4" fillId="0" borderId="0" xfId="0" applyFont="1" applyProtection="1">
      <protection hidden="1"/>
    </xf>
    <xf numFmtId="0" fontId="3" fillId="0" borderId="0" xfId="0" applyFont="1" applyAlignment="1" applyProtection="1">
      <alignment horizontal="center" vertical="center"/>
      <protection hidden="1"/>
    </xf>
    <xf numFmtId="0" fontId="10" fillId="0" borderId="0" xfId="0" applyFont="1" applyAlignment="1" applyProtection="1">
      <alignment horizontal="right" vertical="center" wrapText="1"/>
      <protection hidden="1"/>
    </xf>
    <xf numFmtId="0" fontId="7" fillId="0" borderId="0" xfId="0" applyFont="1" applyAlignment="1" applyProtection="1">
      <alignment horizontal="left" vertical="top" wrapText="1"/>
      <protection hidden="1"/>
    </xf>
    <xf numFmtId="0" fontId="13" fillId="0" borderId="0" xfId="0" applyFont="1" applyProtection="1">
      <protection hidden="1"/>
    </xf>
    <xf numFmtId="0" fontId="5" fillId="0" borderId="0" xfId="0" applyFont="1" applyAlignment="1" applyProtection="1">
      <alignment horizontal="right" vertical="center"/>
      <protection hidden="1"/>
    </xf>
    <xf numFmtId="0" fontId="6" fillId="0" borderId="1" xfId="0" applyFont="1" applyBorder="1" applyAlignment="1" applyProtection="1">
      <alignment horizontal="left" vertical="center" wrapText="1"/>
      <protection hidden="1"/>
    </xf>
    <xf numFmtId="0" fontId="17" fillId="0" borderId="1" xfId="0" applyFont="1" applyBorder="1" applyAlignment="1" applyProtection="1">
      <alignment horizontal="right" vertical="center" wrapText="1"/>
      <protection hidden="1"/>
    </xf>
    <xf numFmtId="0" fontId="14" fillId="0" borderId="1" xfId="0" applyFont="1" applyBorder="1" applyAlignment="1" applyProtection="1">
      <alignment horizontal="center"/>
      <protection hidden="1"/>
    </xf>
    <xf numFmtId="0" fontId="14" fillId="0" borderId="0" xfId="0" applyFont="1" applyProtection="1">
      <protection hidden="1"/>
    </xf>
    <xf numFmtId="0" fontId="13" fillId="0" borderId="1" xfId="0" applyFont="1" applyBorder="1" applyProtection="1">
      <protection hidden="1"/>
    </xf>
    <xf numFmtId="0" fontId="16" fillId="0" borderId="0" xfId="0" applyFont="1" applyProtection="1">
      <protection hidden="1"/>
    </xf>
    <xf numFmtId="0" fontId="0" fillId="0" borderId="0" xfId="0" applyAlignment="1" applyProtection="1">
      <alignment horizontal="center"/>
      <protection hidden="1"/>
    </xf>
    <xf numFmtId="0" fontId="12" fillId="0" borderId="0" xfId="0" applyFont="1" applyAlignment="1" applyProtection="1">
      <alignment horizontal="center"/>
      <protection hidden="1"/>
    </xf>
    <xf numFmtId="1" fontId="8" fillId="3" borderId="1" xfId="0" applyNumberFormat="1" applyFont="1" applyFill="1" applyBorder="1" applyAlignment="1" applyProtection="1">
      <alignment horizontal="center" vertical="center"/>
      <protection hidden="1"/>
    </xf>
    <xf numFmtId="0" fontId="3" fillId="0" borderId="0" xfId="0" applyFont="1" applyAlignment="1" applyProtection="1">
      <alignment horizontal="center" vertical="top"/>
      <protection hidden="1"/>
    </xf>
    <xf numFmtId="0" fontId="3" fillId="0" borderId="0" xfId="0" applyFont="1" applyAlignment="1" applyProtection="1">
      <alignment horizontal="center"/>
      <protection hidden="1"/>
    </xf>
    <xf numFmtId="0" fontId="24" fillId="0" borderId="0" xfId="0" applyFont="1" applyProtection="1">
      <protection hidden="1"/>
    </xf>
    <xf numFmtId="9" fontId="12" fillId="0" borderId="0" xfId="5" applyFont="1" applyBorder="1" applyAlignment="1" applyProtection="1">
      <protection hidden="1"/>
    </xf>
    <xf numFmtId="14" fontId="25" fillId="0" borderId="0" xfId="0" applyNumberFormat="1" applyFont="1" applyProtection="1">
      <protection hidden="1"/>
    </xf>
    <xf numFmtId="0" fontId="0" fillId="0" borderId="0" xfId="0" applyAlignment="1">
      <alignment horizontal="center"/>
    </xf>
    <xf numFmtId="0" fontId="26" fillId="0" borderId="0" xfId="0" applyFont="1"/>
    <xf numFmtId="0" fontId="0" fillId="0" borderId="0" xfId="0" applyAlignment="1">
      <alignment horizontal="right"/>
    </xf>
    <xf numFmtId="0" fontId="27" fillId="0" borderId="0" xfId="0" applyFont="1" applyAlignment="1">
      <alignment horizontal="right"/>
    </xf>
    <xf numFmtId="0" fontId="28" fillId="0" borderId="0" xfId="0" applyFont="1" applyAlignment="1">
      <alignment horizontal="right"/>
    </xf>
    <xf numFmtId="0" fontId="0" fillId="5" borderId="0" xfId="0" applyFill="1"/>
    <xf numFmtId="1" fontId="0" fillId="0" borderId="0" xfId="0" applyNumberFormat="1" applyProtection="1">
      <protection hidden="1"/>
    </xf>
    <xf numFmtId="0" fontId="23" fillId="0" borderId="1" xfId="0" applyFont="1" applyBorder="1" applyAlignment="1" applyProtection="1">
      <alignment horizontal="right" vertical="center" wrapText="1"/>
      <protection hidden="1"/>
    </xf>
    <xf numFmtId="2" fontId="0" fillId="0" borderId="0" xfId="0" applyNumberFormat="1"/>
    <xf numFmtId="164" fontId="0" fillId="0" borderId="0" xfId="0" applyNumberFormat="1"/>
    <xf numFmtId="0" fontId="4" fillId="0" borderId="0" xfId="0" applyFont="1" applyAlignment="1">
      <alignment horizontal="right"/>
    </xf>
    <xf numFmtId="0" fontId="4" fillId="0" borderId="0" xfId="0" applyFont="1"/>
    <xf numFmtId="3" fontId="8" fillId="2" borderId="1" xfId="0" applyNumberFormat="1" applyFont="1" applyFill="1" applyBorder="1" applyAlignment="1" applyProtection="1">
      <alignment horizontal="center" vertical="center"/>
      <protection locked="0"/>
    </xf>
    <xf numFmtId="0" fontId="1" fillId="0" borderId="0" xfId="3"/>
    <xf numFmtId="0" fontId="36" fillId="0" borderId="0" xfId="3" applyFont="1"/>
    <xf numFmtId="0" fontId="36" fillId="0" borderId="4" xfId="3" applyFont="1" applyBorder="1" applyAlignment="1">
      <alignment horizontal="center" vertical="center"/>
    </xf>
    <xf numFmtId="0" fontId="36" fillId="0" borderId="0" xfId="3" applyFont="1" applyAlignment="1">
      <alignment vertical="center"/>
    </xf>
    <xf numFmtId="0" fontId="36" fillId="0" borderId="9" xfId="3" applyFont="1" applyBorder="1" applyAlignment="1">
      <alignment vertical="center"/>
    </xf>
    <xf numFmtId="2" fontId="12" fillId="0" borderId="0" xfId="0" applyNumberFormat="1" applyFont="1" applyProtection="1">
      <protection hidden="1"/>
    </xf>
    <xf numFmtId="2" fontId="14" fillId="0" borderId="0" xfId="0" applyNumberFormat="1" applyFont="1" applyProtection="1">
      <protection hidden="1"/>
    </xf>
    <xf numFmtId="0" fontId="1" fillId="0" borderId="0" xfId="0" applyFont="1"/>
    <xf numFmtId="0" fontId="24" fillId="0" borderId="0" xfId="0" applyFont="1"/>
    <xf numFmtId="0" fontId="5" fillId="0" borderId="0" xfId="0" applyFont="1" applyAlignment="1" applyProtection="1">
      <alignment horizontal="center"/>
      <protection hidden="1"/>
    </xf>
    <xf numFmtId="0" fontId="19" fillId="0" borderId="0" xfId="0" applyFont="1" applyAlignment="1" applyProtection="1">
      <alignment horizontal="center"/>
      <protection hidden="1"/>
    </xf>
    <xf numFmtId="0" fontId="10" fillId="0" borderId="0" xfId="0" applyFont="1" applyAlignment="1" applyProtection="1">
      <alignment horizontal="center" vertical="center" wrapText="1"/>
      <protection hidden="1"/>
    </xf>
    <xf numFmtId="0" fontId="8" fillId="2" borderId="2" xfId="0"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1" fillId="0" borderId="0" xfId="0" applyFont="1" applyAlignment="1">
      <alignment vertical="center"/>
    </xf>
    <xf numFmtId="0" fontId="29" fillId="0" borderId="0" xfId="0" applyFont="1" applyProtection="1">
      <protection hidden="1"/>
    </xf>
    <xf numFmtId="0" fontId="14" fillId="0" borderId="3" xfId="0" applyFont="1" applyBorder="1" applyAlignment="1" applyProtection="1">
      <alignment horizontal="center"/>
      <protection hidden="1"/>
    </xf>
    <xf numFmtId="0" fontId="14" fillId="0" borderId="0" xfId="0" applyFont="1" applyAlignment="1" applyProtection="1">
      <alignment vertical="center"/>
      <protection hidden="1"/>
    </xf>
    <xf numFmtId="0" fontId="13" fillId="0" borderId="0" xfId="0" applyFont="1" applyAlignment="1" applyProtection="1">
      <alignment wrapText="1"/>
      <protection hidden="1"/>
    </xf>
    <xf numFmtId="0" fontId="36" fillId="6" borderId="16" xfId="3" applyFont="1" applyFill="1" applyBorder="1" applyAlignment="1">
      <alignment horizontal="center" vertical="center"/>
    </xf>
    <xf numFmtId="0" fontId="36" fillId="6" borderId="17" xfId="3" applyFont="1" applyFill="1" applyBorder="1" applyAlignment="1">
      <alignment horizontal="center" vertical="center"/>
    </xf>
    <xf numFmtId="0" fontId="33" fillId="0" borderId="0" xfId="4"/>
    <xf numFmtId="2" fontId="33" fillId="0" borderId="0" xfId="4" applyNumberFormat="1"/>
    <xf numFmtId="0" fontId="35" fillId="0" borderId="18" xfId="4" applyFont="1" applyBorder="1" applyAlignment="1">
      <alignment horizontal="center"/>
    </xf>
    <xf numFmtId="0" fontId="35" fillId="0" borderId="19" xfId="4" applyFont="1" applyBorder="1" applyAlignment="1">
      <alignment horizontal="center"/>
    </xf>
    <xf numFmtId="0" fontId="33" fillId="0" borderId="20" xfId="4" applyBorder="1"/>
    <xf numFmtId="2" fontId="33" fillId="0" borderId="20" xfId="4" applyNumberFormat="1" applyBorder="1" applyAlignment="1">
      <alignment horizontal="center"/>
    </xf>
    <xf numFmtId="0" fontId="33" fillId="0" borderId="19" xfId="4" applyBorder="1"/>
    <xf numFmtId="0" fontId="35" fillId="0" borderId="21" xfId="4" applyFont="1" applyBorder="1" applyAlignment="1">
      <alignment horizontal="center"/>
    </xf>
    <xf numFmtId="0" fontId="35" fillId="0" borderId="22" xfId="4" applyFont="1" applyBorder="1" applyAlignment="1">
      <alignment horizontal="center"/>
    </xf>
    <xf numFmtId="0" fontId="35" fillId="0" borderId="23" xfId="4" applyFont="1" applyBorder="1" applyAlignment="1">
      <alignment horizontal="center"/>
    </xf>
    <xf numFmtId="0" fontId="35" fillId="0" borderId="24" xfId="4" applyFont="1" applyBorder="1" applyAlignment="1">
      <alignment horizontal="center"/>
    </xf>
    <xf numFmtId="0" fontId="33" fillId="0" borderId="18" xfId="4" applyBorder="1" applyAlignment="1">
      <alignment horizontal="center"/>
    </xf>
    <xf numFmtId="0" fontId="33" fillId="0" borderId="19" xfId="4" applyBorder="1" applyAlignment="1">
      <alignment horizontal="center"/>
    </xf>
    <xf numFmtId="165" fontId="33" fillId="0" borderId="20" xfId="4" applyNumberFormat="1" applyBorder="1" applyAlignment="1">
      <alignment horizontal="center"/>
    </xf>
    <xf numFmtId="2" fontId="33" fillId="0" borderId="25" xfId="4" applyNumberFormat="1" applyBorder="1" applyAlignment="1">
      <alignment horizontal="center"/>
    </xf>
    <xf numFmtId="0" fontId="33" fillId="0" borderId="16" xfId="4" applyBorder="1"/>
    <xf numFmtId="0" fontId="33" fillId="0" borderId="1" xfId="4" applyBorder="1"/>
    <xf numFmtId="0" fontId="33" fillId="0" borderId="26" xfId="4" applyBorder="1"/>
    <xf numFmtId="0" fontId="33" fillId="0" borderId="4" xfId="4" applyBorder="1" applyAlignment="1">
      <alignment horizontal="center"/>
    </xf>
    <xf numFmtId="0" fontId="33" fillId="0" borderId="9" xfId="4" applyBorder="1" applyAlignment="1">
      <alignment horizontal="center"/>
    </xf>
    <xf numFmtId="165" fontId="33" fillId="0" borderId="0" xfId="4" applyNumberFormat="1" applyAlignment="1">
      <alignment horizontal="center"/>
    </xf>
    <xf numFmtId="0" fontId="33" fillId="0" borderId="9" xfId="4" applyBorder="1"/>
    <xf numFmtId="2" fontId="33" fillId="0" borderId="27" xfId="4" applyNumberFormat="1" applyBorder="1" applyAlignment="1">
      <alignment horizontal="center"/>
    </xf>
    <xf numFmtId="0" fontId="33" fillId="7" borderId="4" xfId="4" applyFill="1" applyBorder="1" applyAlignment="1">
      <alignment horizontal="center"/>
    </xf>
    <xf numFmtId="0" fontId="33" fillId="8" borderId="4" xfId="4" applyFill="1" applyBorder="1" applyAlignment="1">
      <alignment horizontal="center"/>
    </xf>
    <xf numFmtId="0" fontId="33" fillId="8" borderId="9" xfId="4" applyFill="1" applyBorder="1" applyAlignment="1">
      <alignment horizontal="center"/>
    </xf>
    <xf numFmtId="0" fontId="33" fillId="8" borderId="0" xfId="4" applyFill="1"/>
    <xf numFmtId="165" fontId="33" fillId="8" borderId="0" xfId="4" applyNumberFormat="1" applyFill="1" applyAlignment="1">
      <alignment horizontal="center"/>
    </xf>
    <xf numFmtId="0" fontId="33" fillId="8" borderId="9" xfId="4" applyFill="1" applyBorder="1"/>
    <xf numFmtId="2" fontId="33" fillId="8" borderId="27" xfId="4" applyNumberFormat="1" applyFill="1" applyBorder="1" applyAlignment="1">
      <alignment horizontal="center"/>
    </xf>
    <xf numFmtId="0" fontId="33" fillId="0" borderId="28" xfId="4" applyBorder="1" applyAlignment="1">
      <alignment horizontal="center"/>
    </xf>
    <xf numFmtId="0" fontId="33" fillId="0" borderId="29" xfId="4" applyBorder="1" applyAlignment="1">
      <alignment horizontal="center"/>
    </xf>
    <xf numFmtId="0" fontId="33" fillId="0" borderId="30" xfId="4" applyBorder="1"/>
    <xf numFmtId="165" fontId="33" fillId="0" borderId="30" xfId="4" applyNumberFormat="1" applyBorder="1" applyAlignment="1">
      <alignment horizontal="center"/>
    </xf>
    <xf numFmtId="0" fontId="33" fillId="0" borderId="29" xfId="4" applyBorder="1"/>
    <xf numFmtId="2" fontId="33" fillId="0" borderId="31" xfId="4" applyNumberFormat="1" applyBorder="1" applyAlignment="1">
      <alignment horizontal="center"/>
    </xf>
    <xf numFmtId="0" fontId="33" fillId="7" borderId="9" xfId="4" applyFill="1" applyBorder="1" applyAlignment="1">
      <alignment horizontal="center"/>
    </xf>
    <xf numFmtId="0" fontId="33" fillId="8" borderId="25" xfId="4" applyFill="1" applyBorder="1" applyAlignment="1">
      <alignment horizontal="center"/>
    </xf>
    <xf numFmtId="0" fontId="33" fillId="0" borderId="31" xfId="4" applyBorder="1" applyAlignment="1">
      <alignment horizontal="center"/>
    </xf>
    <xf numFmtId="0" fontId="33" fillId="7" borderId="18" xfId="4" applyFill="1" applyBorder="1" applyAlignment="1">
      <alignment horizontal="center"/>
    </xf>
    <xf numFmtId="0" fontId="33" fillId="7" borderId="19" xfId="4" applyFill="1" applyBorder="1" applyAlignment="1">
      <alignment horizontal="center"/>
    </xf>
    <xf numFmtId="0" fontId="33" fillId="8" borderId="20" xfId="4" applyFill="1" applyBorder="1"/>
    <xf numFmtId="165" fontId="33" fillId="8" borderId="20" xfId="4" applyNumberFormat="1" applyFill="1" applyBorder="1" applyAlignment="1">
      <alignment horizontal="center"/>
    </xf>
    <xf numFmtId="0" fontId="33" fillId="8" borderId="19" xfId="4" applyFill="1" applyBorder="1"/>
    <xf numFmtId="0" fontId="33" fillId="0" borderId="27" xfId="4" applyBorder="1" applyAlignment="1">
      <alignment horizontal="center"/>
    </xf>
    <xf numFmtId="0" fontId="33" fillId="0" borderId="17" xfId="4" applyBorder="1"/>
    <xf numFmtId="0" fontId="33" fillId="0" borderId="32" xfId="4" applyBorder="1"/>
    <xf numFmtId="0" fontId="33" fillId="0" borderId="33" xfId="4" applyBorder="1"/>
    <xf numFmtId="0" fontId="33" fillId="7" borderId="27" xfId="4" applyFill="1" applyBorder="1" applyAlignment="1">
      <alignment horizontal="center"/>
    </xf>
    <xf numFmtId="0" fontId="33" fillId="0" borderId="25" xfId="4" applyBorder="1" applyAlignment="1">
      <alignment horizontal="center"/>
    </xf>
    <xf numFmtId="0" fontId="33" fillId="8" borderId="27" xfId="4" applyFill="1" applyBorder="1" applyAlignment="1">
      <alignment horizontal="center"/>
    </xf>
    <xf numFmtId="0" fontId="33" fillId="0" borderId="34" xfId="4" applyBorder="1" applyAlignment="1">
      <alignment horizontal="center"/>
    </xf>
    <xf numFmtId="0" fontId="33" fillId="0" borderId="35" xfId="4" applyBorder="1" applyAlignment="1">
      <alignment horizontal="center"/>
    </xf>
    <xf numFmtId="0" fontId="33" fillId="0" borderId="36" xfId="4" applyBorder="1"/>
    <xf numFmtId="165" fontId="33" fillId="0" borderId="36" xfId="4" applyNumberFormat="1" applyBorder="1" applyAlignment="1">
      <alignment horizontal="center"/>
    </xf>
    <xf numFmtId="0" fontId="33" fillId="0" borderId="35" xfId="4" applyBorder="1"/>
    <xf numFmtId="0" fontId="33" fillId="7" borderId="28" xfId="4" applyFill="1" applyBorder="1" applyAlignment="1">
      <alignment horizontal="center"/>
    </xf>
    <xf numFmtId="0" fontId="33" fillId="7" borderId="29" xfId="4" applyFill="1" applyBorder="1" applyAlignment="1">
      <alignment horizontal="center"/>
    </xf>
    <xf numFmtId="0" fontId="33" fillId="7" borderId="31" xfId="4" applyFill="1" applyBorder="1" applyAlignment="1">
      <alignment horizontal="center"/>
    </xf>
    <xf numFmtId="0" fontId="33" fillId="0" borderId="18" xfId="4" applyBorder="1"/>
    <xf numFmtId="0" fontId="33" fillId="0" borderId="28" xfId="4" applyBorder="1"/>
    <xf numFmtId="0" fontId="33" fillId="0" borderId="31" xfId="4" applyBorder="1"/>
    <xf numFmtId="0" fontId="33" fillId="8" borderId="25" xfId="4" applyFill="1" applyBorder="1"/>
    <xf numFmtId="0" fontId="35" fillId="0" borderId="0" xfId="4" applyFont="1"/>
    <xf numFmtId="164" fontId="33" fillId="0" borderId="0" xfId="4" applyNumberFormat="1"/>
    <xf numFmtId="0" fontId="37" fillId="0" borderId="0" xfId="4" applyFont="1"/>
    <xf numFmtId="2" fontId="33" fillId="0" borderId="1" xfId="4" applyNumberFormat="1" applyBorder="1" applyAlignment="1">
      <alignment horizontal="center"/>
    </xf>
    <xf numFmtId="0" fontId="32" fillId="0" borderId="0" xfId="0" applyFont="1" applyProtection="1">
      <protection hidden="1"/>
    </xf>
    <xf numFmtId="0" fontId="38" fillId="0" borderId="0" xfId="0" applyFont="1" applyProtection="1">
      <protection hidden="1"/>
    </xf>
    <xf numFmtId="0" fontId="39" fillId="0" borderId="0" xfId="0" applyFont="1" applyProtection="1">
      <protection hidden="1"/>
    </xf>
    <xf numFmtId="1" fontId="33" fillId="0" borderId="0" xfId="4" applyNumberFormat="1"/>
    <xf numFmtId="2" fontId="33" fillId="0" borderId="7" xfId="4" applyNumberFormat="1" applyBorder="1" applyAlignment="1">
      <alignment horizontal="center"/>
    </xf>
    <xf numFmtId="0" fontId="33" fillId="0" borderId="37" xfId="4" applyBorder="1"/>
    <xf numFmtId="0" fontId="33" fillId="0" borderId="38" xfId="4" applyBorder="1" applyAlignment="1">
      <alignment horizontal="right"/>
    </xf>
    <xf numFmtId="0" fontId="33" fillId="0" borderId="16" xfId="4" applyBorder="1" applyAlignment="1">
      <alignment horizontal="right"/>
    </xf>
    <xf numFmtId="0" fontId="33" fillId="0" borderId="4" xfId="4" applyBorder="1"/>
    <xf numFmtId="0" fontId="33" fillId="0" borderId="0" xfId="4" applyAlignment="1">
      <alignment horizontal="center"/>
    </xf>
    <xf numFmtId="0" fontId="33" fillId="0" borderId="17" xfId="4" applyBorder="1" applyAlignment="1">
      <alignment horizontal="right"/>
    </xf>
    <xf numFmtId="2" fontId="33" fillId="0" borderId="32" xfId="4" applyNumberFormat="1" applyBorder="1" applyAlignment="1">
      <alignment horizontal="center"/>
    </xf>
    <xf numFmtId="0" fontId="40" fillId="0" borderId="0" xfId="0" applyFont="1"/>
    <xf numFmtId="0" fontId="41" fillId="0" borderId="0" xfId="4" applyFont="1"/>
    <xf numFmtId="0" fontId="33" fillId="0" borderId="37" xfId="4" applyBorder="1" applyAlignment="1">
      <alignment horizontal="center"/>
    </xf>
    <xf numFmtId="0" fontId="42" fillId="0" borderId="0" xfId="4" applyFont="1"/>
    <xf numFmtId="164" fontId="1" fillId="0" borderId="0" xfId="0" applyNumberFormat="1" applyFont="1" applyAlignment="1">
      <alignment vertical="center"/>
    </xf>
    <xf numFmtId="0" fontId="43" fillId="0" borderId="0" xfId="0" applyFont="1" applyProtection="1">
      <protection hidden="1"/>
    </xf>
    <xf numFmtId="0" fontId="34" fillId="0" borderId="0" xfId="1"/>
    <xf numFmtId="0" fontId="33" fillId="0" borderId="1" xfId="4" applyBorder="1" applyAlignment="1">
      <alignment wrapText="1"/>
    </xf>
    <xf numFmtId="1" fontId="33" fillId="0" borderId="1" xfId="4" applyNumberFormat="1" applyBorder="1" applyAlignment="1">
      <alignment horizontal="center"/>
    </xf>
    <xf numFmtId="0" fontId="33" fillId="0" borderId="1" xfId="4" applyBorder="1" applyAlignment="1">
      <alignment horizontal="center"/>
    </xf>
    <xf numFmtId="0" fontId="30" fillId="0" borderId="2" xfId="0" applyFont="1" applyBorder="1" applyProtection="1">
      <protection hidden="1"/>
    </xf>
    <xf numFmtId="0" fontId="3" fillId="0" borderId="0" xfId="0" applyFont="1" applyAlignment="1">
      <alignment vertical="top" wrapText="1"/>
    </xf>
    <xf numFmtId="0" fontId="0" fillId="0" borderId="0" xfId="0"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44" xfId="0" applyBorder="1" applyAlignment="1">
      <alignment horizontal="center" vertical="top" wrapText="1"/>
    </xf>
    <xf numFmtId="0" fontId="0" fillId="0" borderId="50" xfId="0" applyBorder="1" applyAlignment="1">
      <alignment horizontal="center" vertical="top" wrapText="1"/>
    </xf>
    <xf numFmtId="0" fontId="0" fillId="0" borderId="46" xfId="0" applyBorder="1" applyAlignment="1">
      <alignment horizontal="center" vertical="top" wrapText="1"/>
    </xf>
    <xf numFmtId="0" fontId="34" fillId="0" borderId="46" xfId="1" quotePrefix="1" applyNumberFormat="1" applyBorder="1" applyAlignment="1">
      <alignment horizontal="center" vertical="top" wrapText="1"/>
    </xf>
    <xf numFmtId="0" fontId="0" fillId="0" borderId="51" xfId="0" applyBorder="1" applyAlignment="1">
      <alignment horizontal="center" vertical="top" wrapText="1"/>
    </xf>
    <xf numFmtId="0" fontId="34" fillId="0" borderId="0" xfId="1" quotePrefix="1" applyNumberFormat="1" applyAlignment="1">
      <alignment horizontal="center" vertical="top" wrapText="1"/>
    </xf>
    <xf numFmtId="0" fontId="0" fillId="0" borderId="52" xfId="0" applyBorder="1" applyAlignment="1">
      <alignment horizontal="center" vertical="top" wrapText="1"/>
    </xf>
    <xf numFmtId="0" fontId="0" fillId="0" borderId="49" xfId="0" applyBorder="1" applyAlignment="1">
      <alignment horizontal="center" vertical="top" wrapText="1"/>
    </xf>
    <xf numFmtId="0" fontId="34" fillId="0" borderId="49" xfId="1" quotePrefix="1" applyNumberFormat="1" applyBorder="1" applyAlignment="1">
      <alignment horizontal="center" vertical="top" wrapText="1"/>
    </xf>
    <xf numFmtId="0" fontId="0" fillId="0" borderId="53" xfId="0" applyBorder="1" applyAlignment="1">
      <alignment horizontal="center" vertical="top" wrapText="1"/>
    </xf>
    <xf numFmtId="0" fontId="33" fillId="0" borderId="22" xfId="4" applyBorder="1"/>
    <xf numFmtId="0" fontId="33" fillId="0" borderId="24" xfId="4" applyBorder="1" applyAlignment="1">
      <alignment horizontal="center"/>
    </xf>
    <xf numFmtId="0" fontId="33" fillId="0" borderId="54" xfId="4" applyBorder="1" applyAlignment="1">
      <alignment horizontal="center"/>
    </xf>
    <xf numFmtId="0" fontId="46" fillId="0" borderId="0" xfId="1" quotePrefix="1" applyNumberFormat="1" applyFont="1" applyAlignment="1">
      <alignment horizontal="center" vertical="top" wrapText="1"/>
    </xf>
    <xf numFmtId="0" fontId="34" fillId="0" borderId="44" xfId="1" quotePrefix="1" applyNumberFormat="1" applyBorder="1" applyAlignment="1">
      <alignment horizontal="center" vertical="top" wrapText="1"/>
    </xf>
    <xf numFmtId="0" fontId="33" fillId="0" borderId="23" xfId="4" applyBorder="1" applyAlignment="1">
      <alignment horizontal="center"/>
    </xf>
    <xf numFmtId="0" fontId="33" fillId="0" borderId="24" xfId="4" applyBorder="1"/>
    <xf numFmtId="0" fontId="47" fillId="2" borderId="1" xfId="0" applyFont="1" applyFill="1" applyBorder="1" applyAlignment="1" applyProtection="1">
      <alignment horizontal="center" vertical="center"/>
      <protection locked="0"/>
    </xf>
    <xf numFmtId="3" fontId="47" fillId="2" borderId="32"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hidden="1"/>
    </xf>
    <xf numFmtId="0" fontId="10" fillId="0" borderId="1" xfId="0" applyFont="1" applyBorder="1" applyAlignment="1" applyProtection="1">
      <alignment horizontal="right" vertical="center" wrapText="1"/>
      <protection hidden="1"/>
    </xf>
    <xf numFmtId="0" fontId="8" fillId="0" borderId="11"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1" fillId="0" borderId="0" xfId="0" applyFont="1" applyAlignment="1">
      <alignment horizontal="center"/>
    </xf>
    <xf numFmtId="0" fontId="0" fillId="0" borderId="0" xfId="0" applyAlignment="1">
      <alignment horizontal="center"/>
    </xf>
    <xf numFmtId="0" fontId="14" fillId="0" borderId="2" xfId="0" applyFont="1" applyBorder="1" applyAlignment="1" applyProtection="1">
      <alignment horizontal="right" wrapText="1"/>
      <protection hidden="1"/>
    </xf>
    <xf numFmtId="0" fontId="14" fillId="0" borderId="15" xfId="0" applyFont="1" applyBorder="1" applyAlignment="1" applyProtection="1">
      <alignment horizontal="right" wrapText="1"/>
      <protection hidden="1"/>
    </xf>
    <xf numFmtId="0" fontId="14" fillId="0" borderId="3" xfId="0" applyFont="1" applyBorder="1" applyAlignment="1" applyProtection="1">
      <alignment horizontal="right" wrapText="1"/>
      <protection hidden="1"/>
    </xf>
    <xf numFmtId="0" fontId="14" fillId="0" borderId="1" xfId="0" applyFont="1" applyBorder="1" applyAlignment="1" applyProtection="1">
      <alignment horizontal="right"/>
      <protection hidden="1"/>
    </xf>
    <xf numFmtId="0" fontId="13" fillId="0" borderId="2" xfId="0" applyFont="1" applyBorder="1" applyAlignment="1" applyProtection="1">
      <alignment horizontal="left" wrapText="1"/>
      <protection hidden="1"/>
    </xf>
    <xf numFmtId="0" fontId="13" fillId="0" borderId="15" xfId="0" applyFont="1" applyBorder="1" applyAlignment="1" applyProtection="1">
      <alignment horizontal="left" wrapText="1"/>
      <protection hidden="1"/>
    </xf>
    <xf numFmtId="0" fontId="13" fillId="0" borderId="3" xfId="0" applyFont="1" applyBorder="1" applyAlignment="1" applyProtection="1">
      <alignment horizontal="left" wrapText="1"/>
      <protection hidden="1"/>
    </xf>
    <xf numFmtId="0" fontId="14" fillId="0" borderId="1" xfId="0" applyFont="1" applyBorder="1" applyAlignment="1" applyProtection="1">
      <alignment horizontal="center"/>
      <protection hidden="1"/>
    </xf>
    <xf numFmtId="3" fontId="14" fillId="0" borderId="1" xfId="0" applyNumberFormat="1" applyFont="1" applyBorder="1" applyAlignment="1" applyProtection="1">
      <alignment horizontal="center"/>
      <protection hidden="1"/>
    </xf>
    <xf numFmtId="2" fontId="14" fillId="0" borderId="1" xfId="0" applyNumberFormat="1" applyFont="1" applyBorder="1" applyAlignment="1" applyProtection="1">
      <alignment horizontal="center"/>
      <protection hidden="1"/>
    </xf>
    <xf numFmtId="0" fontId="14" fillId="0" borderId="1" xfId="0" applyFont="1" applyBorder="1" applyAlignment="1" applyProtection="1">
      <alignment horizontal="right" wrapText="1"/>
      <protection hidden="1"/>
    </xf>
    <xf numFmtId="0" fontId="14" fillId="0" borderId="1" xfId="0" applyFont="1" applyBorder="1" applyAlignment="1" applyProtection="1">
      <alignment horizontal="left"/>
      <protection hidden="1"/>
    </xf>
    <xf numFmtId="14" fontId="14" fillId="0" borderId="1" xfId="0" applyNumberFormat="1" applyFont="1" applyBorder="1" applyAlignment="1" applyProtection="1">
      <alignment horizontal="center"/>
      <protection hidden="1"/>
    </xf>
    <xf numFmtId="0" fontId="14" fillId="0" borderId="2" xfId="0" applyFont="1" applyBorder="1" applyAlignment="1" applyProtection="1">
      <alignment horizontal="left"/>
      <protection hidden="1"/>
    </xf>
    <xf numFmtId="0" fontId="14" fillId="0" borderId="15" xfId="0" applyFont="1" applyBorder="1" applyAlignment="1" applyProtection="1">
      <alignment horizontal="left"/>
      <protection hidden="1"/>
    </xf>
    <xf numFmtId="0" fontId="14" fillId="0" borderId="3" xfId="0" applyFont="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2" fontId="14" fillId="0" borderId="11" xfId="0" applyNumberFormat="1" applyFont="1" applyBorder="1" applyAlignment="1" applyProtection="1">
      <alignment horizontal="center" vertical="center"/>
      <protection hidden="1"/>
    </xf>
    <xf numFmtId="2" fontId="14" fillId="0" borderId="7" xfId="0" applyNumberFormat="1"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3" fillId="0" borderId="2"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164" fontId="14" fillId="0" borderId="1" xfId="0" applyNumberFormat="1" applyFont="1" applyBorder="1" applyAlignment="1" applyProtection="1">
      <alignment horizontal="center"/>
      <protection hidden="1"/>
    </xf>
    <xf numFmtId="0" fontId="14" fillId="0" borderId="1" xfId="0" applyFont="1" applyBorder="1" applyAlignment="1" applyProtection="1">
      <alignment horizontal="center" vertical="center"/>
      <protection hidden="1"/>
    </xf>
    <xf numFmtId="0" fontId="14" fillId="0" borderId="2" xfId="0" applyFont="1" applyBorder="1" applyAlignment="1" applyProtection="1">
      <alignment horizontal="right"/>
      <protection hidden="1"/>
    </xf>
    <xf numFmtId="0" fontId="14" fillId="0" borderId="15" xfId="0" applyFont="1" applyBorder="1" applyAlignment="1" applyProtection="1">
      <alignment horizontal="right"/>
      <protection hidden="1"/>
    </xf>
    <xf numFmtId="0" fontId="14" fillId="0" borderId="3" xfId="0" applyFont="1" applyBorder="1" applyAlignment="1" applyProtection="1">
      <alignment horizontal="right"/>
      <protection hidden="1"/>
    </xf>
    <xf numFmtId="2" fontId="14" fillId="0" borderId="2" xfId="0" applyNumberFormat="1"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4" fillId="0" borderId="3" xfId="0" applyFont="1" applyBorder="1" applyAlignment="1" applyProtection="1">
      <alignment horizontal="center"/>
      <protection hidden="1"/>
    </xf>
    <xf numFmtId="164" fontId="14" fillId="0" borderId="2" xfId="0" applyNumberFormat="1" applyFont="1" applyBorder="1" applyAlignment="1" applyProtection="1">
      <alignment horizontal="center"/>
      <protection hidden="1"/>
    </xf>
    <xf numFmtId="164" fontId="14" fillId="0" borderId="15" xfId="0" applyNumberFormat="1" applyFont="1" applyBorder="1" applyAlignment="1" applyProtection="1">
      <alignment horizontal="center"/>
      <protection hidden="1"/>
    </xf>
    <xf numFmtId="164" fontId="14" fillId="0" borderId="3" xfId="0" applyNumberFormat="1" applyFont="1" applyBorder="1" applyAlignment="1" applyProtection="1">
      <alignment horizont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protection hidden="1"/>
    </xf>
    <xf numFmtId="0" fontId="14" fillId="0" borderId="7" xfId="0" applyFont="1" applyBorder="1" applyAlignment="1" applyProtection="1">
      <alignment horizontal="center"/>
      <protection hidden="1"/>
    </xf>
    <xf numFmtId="2" fontId="14" fillId="0" borderId="11" xfId="0" applyNumberFormat="1" applyFont="1" applyBorder="1" applyAlignment="1" applyProtection="1">
      <alignment horizontal="center"/>
      <protection hidden="1"/>
    </xf>
    <xf numFmtId="2" fontId="14" fillId="0" borderId="7" xfId="0" applyNumberFormat="1" applyFont="1" applyBorder="1" applyAlignment="1" applyProtection="1">
      <alignment horizontal="center"/>
      <protection hidden="1"/>
    </xf>
    <xf numFmtId="0" fontId="14" fillId="0" borderId="0" xfId="0" applyFont="1" applyAlignment="1" applyProtection="1">
      <alignment horizontal="center"/>
      <protection hidden="1"/>
    </xf>
    <xf numFmtId="2" fontId="14" fillId="0" borderId="12" xfId="0" applyNumberFormat="1" applyFont="1" applyBorder="1" applyAlignment="1" applyProtection="1">
      <alignment horizontal="center"/>
      <protection hidden="1"/>
    </xf>
    <xf numFmtId="2" fontId="14" fillId="0" borderId="14" xfId="0" applyNumberFormat="1" applyFont="1" applyBorder="1" applyAlignment="1" applyProtection="1">
      <alignment horizontal="center"/>
      <protection hidden="1"/>
    </xf>
    <xf numFmtId="2" fontId="14" fillId="0" borderId="8" xfId="0" applyNumberFormat="1" applyFont="1" applyBorder="1" applyAlignment="1" applyProtection="1">
      <alignment horizontal="center"/>
      <protection hidden="1"/>
    </xf>
    <xf numFmtId="2" fontId="14" fillId="0" borderId="10" xfId="0" applyNumberFormat="1" applyFont="1" applyBorder="1" applyAlignment="1" applyProtection="1">
      <alignment horizontal="center"/>
      <protection hidden="1"/>
    </xf>
    <xf numFmtId="0" fontId="14" fillId="0" borderId="13" xfId="0" applyFont="1" applyBorder="1" applyAlignment="1" applyProtection="1">
      <alignment horizontal="right"/>
      <protection hidden="1"/>
    </xf>
    <xf numFmtId="0" fontId="14" fillId="0" borderId="40" xfId="0" applyFont="1" applyBorder="1" applyAlignment="1" applyProtection="1">
      <alignment horizontal="right"/>
      <protection hidden="1"/>
    </xf>
    <xf numFmtId="2" fontId="14" fillId="0" borderId="1" xfId="0" applyNumberFormat="1" applyFont="1" applyBorder="1" applyAlignment="1" applyProtection="1">
      <alignment horizontal="center" vertical="center"/>
      <protection hidden="1"/>
    </xf>
    <xf numFmtId="0" fontId="3" fillId="0" borderId="0" xfId="0" applyFont="1" applyAlignment="1" applyProtection="1">
      <alignment horizontal="left" vertical="top" wrapText="1"/>
      <protection hidden="1"/>
    </xf>
    <xf numFmtId="0" fontId="30" fillId="0" borderId="15" xfId="0" applyFont="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14" fillId="0" borderId="13"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40" xfId="0" applyFont="1" applyBorder="1" applyAlignment="1" applyProtection="1">
      <alignment horizontal="center"/>
      <protection hidden="1"/>
    </xf>
    <xf numFmtId="0" fontId="14" fillId="0" borderId="10" xfId="0" applyFont="1" applyBorder="1" applyAlignment="1" applyProtection="1">
      <alignment horizontal="center"/>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39" xfId="0" applyFont="1" applyBorder="1" applyAlignment="1" applyProtection="1">
      <alignment horizontal="center" vertical="center" wrapText="1"/>
      <protection hidden="1"/>
    </xf>
    <xf numFmtId="0" fontId="14" fillId="0" borderId="40"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36" fillId="0" borderId="0" xfId="3" applyFont="1" applyAlignment="1">
      <alignment horizontal="center"/>
    </xf>
    <xf numFmtId="0" fontId="36" fillId="6" borderId="1" xfId="3" applyFont="1" applyFill="1" applyBorder="1" applyAlignment="1">
      <alignment horizontal="left" vertical="center"/>
    </xf>
    <xf numFmtId="0" fontId="36" fillId="6" borderId="26" xfId="3" applyFont="1" applyFill="1" applyBorder="1" applyAlignment="1">
      <alignment horizontal="left" vertical="center"/>
    </xf>
    <xf numFmtId="0" fontId="44" fillId="9" borderId="1" xfId="3" applyFont="1" applyFill="1" applyBorder="1" applyAlignment="1">
      <alignment horizontal="center"/>
    </xf>
    <xf numFmtId="0" fontId="36" fillId="6" borderId="1" xfId="3" applyFont="1" applyFill="1" applyBorder="1" applyAlignment="1">
      <alignment horizontal="left"/>
    </xf>
    <xf numFmtId="0" fontId="36" fillId="10" borderId="1" xfId="3" applyFont="1" applyFill="1" applyBorder="1" applyAlignment="1">
      <alignment horizontal="left"/>
    </xf>
    <xf numFmtId="0" fontId="45" fillId="0" borderId="30" xfId="3" applyFont="1" applyBorder="1" applyAlignment="1">
      <alignment horizontal="center"/>
    </xf>
    <xf numFmtId="0" fontId="36" fillId="0" borderId="22" xfId="3" applyFont="1" applyBorder="1" applyAlignment="1">
      <alignment horizontal="center" vertical="center"/>
    </xf>
    <xf numFmtId="0" fontId="36" fillId="0" borderId="17" xfId="3" applyFont="1" applyBorder="1" applyAlignment="1">
      <alignment horizontal="center" vertical="center"/>
    </xf>
    <xf numFmtId="0" fontId="36" fillId="0" borderId="23" xfId="3" applyFont="1" applyBorder="1" applyAlignment="1">
      <alignment horizontal="left" vertical="center"/>
    </xf>
    <xf numFmtId="0" fontId="36" fillId="0" borderId="24" xfId="3" applyFont="1" applyBorder="1" applyAlignment="1">
      <alignment horizontal="left" vertical="center"/>
    </xf>
    <xf numFmtId="0" fontId="36" fillId="0" borderId="32" xfId="3" applyFont="1" applyBorder="1" applyAlignment="1">
      <alignment horizontal="left" vertical="center"/>
    </xf>
    <xf numFmtId="0" fontId="36" fillId="0" borderId="33" xfId="3" applyFont="1" applyBorder="1" applyAlignment="1">
      <alignment horizontal="left" vertical="center"/>
    </xf>
    <xf numFmtId="0" fontId="36" fillId="6" borderId="32" xfId="3" applyFont="1" applyFill="1" applyBorder="1" applyAlignment="1">
      <alignment horizontal="left" vertical="center"/>
    </xf>
    <xf numFmtId="0" fontId="36" fillId="6" borderId="33" xfId="3" applyFont="1" applyFill="1" applyBorder="1" applyAlignment="1">
      <alignment horizontal="left" vertical="center"/>
    </xf>
    <xf numFmtId="0" fontId="37" fillId="0" borderId="1" xfId="4" applyFont="1" applyBorder="1" applyAlignment="1">
      <alignment horizontal="center"/>
    </xf>
    <xf numFmtId="0" fontId="37" fillId="0" borderId="34" xfId="4" applyFont="1" applyBorder="1" applyAlignment="1">
      <alignment horizontal="center"/>
    </xf>
    <xf numFmtId="0" fontId="37" fillId="0" borderId="36" xfId="4" applyFont="1" applyBorder="1" applyAlignment="1">
      <alignment horizontal="center"/>
    </xf>
    <xf numFmtId="0" fontId="37" fillId="0" borderId="35" xfId="4" applyFont="1" applyBorder="1" applyAlignment="1">
      <alignment horizontal="center"/>
    </xf>
    <xf numFmtId="0" fontId="35" fillId="0" borderId="41" xfId="4" applyFont="1" applyBorder="1" applyAlignment="1">
      <alignment horizontal="center"/>
    </xf>
    <xf numFmtId="0" fontId="35" fillId="0" borderId="42" xfId="4" applyFont="1" applyBorder="1" applyAlignment="1">
      <alignment horizontal="center"/>
    </xf>
    <xf numFmtId="0" fontId="35" fillId="0" borderId="34" xfId="4" applyFont="1" applyBorder="1" applyAlignment="1">
      <alignment horizontal="center"/>
    </xf>
    <xf numFmtId="0" fontId="35" fillId="0" borderId="36" xfId="4" applyFont="1" applyBorder="1" applyAlignment="1">
      <alignment horizontal="center"/>
    </xf>
    <xf numFmtId="0" fontId="35" fillId="0" borderId="35" xfId="4" applyFont="1" applyBorder="1" applyAlignment="1">
      <alignment horizontal="center"/>
    </xf>
    <xf numFmtId="0" fontId="33" fillId="0" borderId="22" xfId="4" applyBorder="1" applyAlignment="1">
      <alignment horizontal="left"/>
    </xf>
    <xf numFmtId="0" fontId="33" fillId="0" borderId="23" xfId="4" applyBorder="1" applyAlignment="1">
      <alignment horizontal="left"/>
    </xf>
    <xf numFmtId="0" fontId="33" fillId="0" borderId="16" xfId="4" applyBorder="1" applyAlignment="1">
      <alignment horizontal="left"/>
    </xf>
    <xf numFmtId="0" fontId="33" fillId="0" borderId="1" xfId="4" applyBorder="1" applyAlignment="1">
      <alignment horizontal="left"/>
    </xf>
    <xf numFmtId="0" fontId="33" fillId="0" borderId="17" xfId="4" applyBorder="1" applyAlignment="1">
      <alignment horizontal="left"/>
    </xf>
    <xf numFmtId="0" fontId="33" fillId="0" borderId="32" xfId="4" applyBorder="1" applyAlignment="1">
      <alignment horizontal="left"/>
    </xf>
    <xf numFmtId="0" fontId="0" fillId="0" borderId="0" xfId="0" applyAlignment="1">
      <alignment horizontal="right"/>
    </xf>
  </cellXfs>
  <cellStyles count="6">
    <cellStyle name="Hyperlink" xfId="1" builtinId="8"/>
    <cellStyle name="Monétaire 2" xfId="2"/>
    <cellStyle name="Normal" xfId="0" builtinId="0"/>
    <cellStyle name="Normal 2" xfId="3"/>
    <cellStyle name="Normal 3" xfId="4"/>
    <cellStyle name="Percent" xfId="5"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Zoeller 151</c:v>
          </c:tx>
          <c:spPr>
            <a:ln w="19050" cap="rnd">
              <a:solidFill>
                <a:schemeClr val="accent1"/>
              </a:solidFill>
              <a:round/>
            </a:ln>
            <a:effectLst/>
          </c:spPr>
          <c:marker>
            <c:symbol val="none"/>
          </c:marker>
          <c:xVal>
            <c:numLit>
              <c:formatCode>General</c:formatCode>
              <c:ptCount val="5"/>
              <c:pt idx="0">
                <c:v>50</c:v>
              </c:pt>
              <c:pt idx="1">
                <c:v>45</c:v>
              </c:pt>
              <c:pt idx="2">
                <c:v>38</c:v>
              </c:pt>
              <c:pt idx="3">
                <c:v>29</c:v>
              </c:pt>
              <c:pt idx="4">
                <c:v>16</c:v>
              </c:pt>
            </c:numLit>
          </c:xVal>
          <c:yVal>
            <c:numLit>
              <c:formatCode>General</c:formatCode>
              <c:ptCount val="5"/>
              <c:pt idx="0">
                <c:v>5</c:v>
              </c:pt>
              <c:pt idx="1">
                <c:v>10</c:v>
              </c:pt>
              <c:pt idx="2">
                <c:v>15</c:v>
              </c:pt>
              <c:pt idx="3">
                <c:v>20</c:v>
              </c:pt>
              <c:pt idx="4">
                <c:v>25</c:v>
              </c:pt>
            </c:numLit>
          </c:yVal>
          <c:smooth val="1"/>
          <c:extLst xmlns:c16r2="http://schemas.microsoft.com/office/drawing/2015/06/chart">
            <c:ext xmlns:c16="http://schemas.microsoft.com/office/drawing/2014/chart" uri="{C3380CC4-5D6E-409C-BE32-E72D297353CC}">
              <c16:uniqueId val="{00000000-B0BF-435A-A1B9-A885FD2C3E72}"/>
            </c:ext>
          </c:extLst>
        </c:ser>
        <c:ser>
          <c:idx val="1"/>
          <c:order val="1"/>
          <c:tx>
            <c:v>Zoeller 152</c:v>
          </c:tx>
          <c:spPr>
            <a:ln w="19050" cap="rnd">
              <a:solidFill>
                <a:schemeClr val="accent2"/>
              </a:solidFill>
              <a:round/>
            </a:ln>
            <a:effectLst/>
          </c:spPr>
          <c:marker>
            <c:symbol val="none"/>
          </c:marker>
          <c:xVal>
            <c:numLit>
              <c:formatCode>General</c:formatCode>
              <c:ptCount val="6"/>
              <c:pt idx="0">
                <c:v>69</c:v>
              </c:pt>
              <c:pt idx="1">
                <c:v>61</c:v>
              </c:pt>
              <c:pt idx="2">
                <c:v>53</c:v>
              </c:pt>
              <c:pt idx="3">
                <c:v>44</c:v>
              </c:pt>
              <c:pt idx="4">
                <c:v>34</c:v>
              </c:pt>
              <c:pt idx="5">
                <c:v>23</c:v>
              </c:pt>
            </c:numLit>
          </c:xVal>
          <c:yVal>
            <c:numLit>
              <c:formatCode>General</c:formatCode>
              <c:ptCount val="6"/>
              <c:pt idx="0">
                <c:v>5</c:v>
              </c:pt>
              <c:pt idx="1">
                <c:v>10</c:v>
              </c:pt>
              <c:pt idx="2">
                <c:v>15</c:v>
              </c:pt>
              <c:pt idx="3">
                <c:v>20</c:v>
              </c:pt>
              <c:pt idx="4">
                <c:v>25</c:v>
              </c:pt>
              <c:pt idx="5">
                <c:v>30</c:v>
              </c:pt>
            </c:numLit>
          </c:yVal>
          <c:smooth val="1"/>
          <c:extLst xmlns:c16r2="http://schemas.microsoft.com/office/drawing/2015/06/chart">
            <c:ext xmlns:c16="http://schemas.microsoft.com/office/drawing/2014/chart" uri="{C3380CC4-5D6E-409C-BE32-E72D297353CC}">
              <c16:uniqueId val="{00000001-B0BF-435A-A1B9-A885FD2C3E72}"/>
            </c:ext>
          </c:extLst>
        </c:ser>
        <c:ser>
          <c:idx val="2"/>
          <c:order val="2"/>
          <c:tx>
            <c:v>Zoeller 153</c:v>
          </c:tx>
          <c:spPr>
            <a:ln w="19050" cap="rnd">
              <a:solidFill>
                <a:schemeClr val="accent3"/>
              </a:solidFill>
              <a:round/>
            </a:ln>
            <a:effectLst/>
          </c:spPr>
          <c:marker>
            <c:symbol val="none"/>
          </c:marker>
          <c:xVal>
            <c:numLit>
              <c:formatCode>General</c:formatCode>
              <c:ptCount val="8"/>
              <c:pt idx="0">
                <c:v>77</c:v>
              </c:pt>
              <c:pt idx="1">
                <c:v>70</c:v>
              </c:pt>
              <c:pt idx="2">
                <c:v>61</c:v>
              </c:pt>
              <c:pt idx="3">
                <c:v>52</c:v>
              </c:pt>
              <c:pt idx="4">
                <c:v>42</c:v>
              </c:pt>
              <c:pt idx="5">
                <c:v>33</c:v>
              </c:pt>
              <c:pt idx="6">
                <c:v>22</c:v>
              </c:pt>
              <c:pt idx="7">
                <c:v>11</c:v>
              </c:pt>
            </c:numLit>
          </c:xVal>
          <c:yVal>
            <c:numLit>
              <c:formatCode>General</c:formatCode>
              <c:ptCount val="8"/>
              <c:pt idx="0">
                <c:v>5</c:v>
              </c:pt>
              <c:pt idx="1">
                <c:v>10</c:v>
              </c:pt>
              <c:pt idx="2">
                <c:v>15</c:v>
              </c:pt>
              <c:pt idx="3">
                <c:v>20</c:v>
              </c:pt>
              <c:pt idx="4">
                <c:v>25</c:v>
              </c:pt>
              <c:pt idx="5">
                <c:v>30</c:v>
              </c:pt>
              <c:pt idx="6">
                <c:v>35</c:v>
              </c:pt>
              <c:pt idx="7">
                <c:v>40</c:v>
              </c:pt>
            </c:numLit>
          </c:yVal>
          <c:smooth val="1"/>
          <c:extLst xmlns:c16r2="http://schemas.microsoft.com/office/drawing/2015/06/chart">
            <c:ext xmlns:c16="http://schemas.microsoft.com/office/drawing/2014/chart" uri="{C3380CC4-5D6E-409C-BE32-E72D297353CC}">
              <c16:uniqueId val="{00000002-B0BF-435A-A1B9-A885FD2C3E72}"/>
            </c:ext>
          </c:extLst>
        </c:ser>
        <c:ser>
          <c:idx val="3"/>
          <c:order val="3"/>
          <c:tx>
            <c:v>Liberty 250</c:v>
          </c:tx>
          <c:spPr>
            <a:ln w="19050" cap="rnd">
              <a:solidFill>
                <a:schemeClr val="accent4"/>
              </a:solidFill>
              <a:round/>
            </a:ln>
            <a:effectLst/>
          </c:spPr>
          <c:marker>
            <c:symbol val="none"/>
          </c:marker>
          <c:xVal>
            <c:numLit>
              <c:formatCode>General</c:formatCode>
              <c:ptCount val="6"/>
              <c:pt idx="0">
                <c:v>50</c:v>
              </c:pt>
              <c:pt idx="1">
                <c:v>40</c:v>
              </c:pt>
              <c:pt idx="2">
                <c:v>30</c:v>
              </c:pt>
              <c:pt idx="3">
                <c:v>20</c:v>
              </c:pt>
              <c:pt idx="4">
                <c:v>10</c:v>
              </c:pt>
              <c:pt idx="5">
                <c:v>0</c:v>
              </c:pt>
            </c:numLit>
          </c:xVal>
          <c:yVal>
            <c:numLit>
              <c:formatCode>General</c:formatCode>
              <c:ptCount val="6"/>
              <c:pt idx="0">
                <c:v>1</c:v>
              </c:pt>
              <c:pt idx="1">
                <c:v>8</c:v>
              </c:pt>
              <c:pt idx="2">
                <c:v>13.5</c:v>
              </c:pt>
              <c:pt idx="3">
                <c:v>18</c:v>
              </c:pt>
              <c:pt idx="4">
                <c:v>21</c:v>
              </c:pt>
              <c:pt idx="5">
                <c:v>23</c:v>
              </c:pt>
            </c:numLit>
          </c:yVal>
          <c:smooth val="1"/>
          <c:extLst xmlns:c16r2="http://schemas.microsoft.com/office/drawing/2015/06/chart">
            <c:ext xmlns:c16="http://schemas.microsoft.com/office/drawing/2014/chart" uri="{C3380CC4-5D6E-409C-BE32-E72D297353CC}">
              <c16:uniqueId val="{00000003-B0BF-435A-A1B9-A885FD2C3E72}"/>
            </c:ext>
          </c:extLst>
        </c:ser>
        <c:ser>
          <c:idx val="4"/>
          <c:order val="4"/>
          <c:tx>
            <c:v>Liberty 280</c:v>
          </c:tx>
          <c:spPr>
            <a:ln w="19050" cap="rnd">
              <a:solidFill>
                <a:schemeClr val="accent5"/>
              </a:solidFill>
              <a:round/>
            </a:ln>
            <a:effectLst/>
          </c:spPr>
          <c:marker>
            <c:symbol val="none"/>
          </c:marker>
          <c:xVal>
            <c:numLit>
              <c:formatCode>General</c:formatCode>
              <c:ptCount val="8"/>
              <c:pt idx="0">
                <c:v>67.5</c:v>
              </c:pt>
              <c:pt idx="1">
                <c:v>60</c:v>
              </c:pt>
              <c:pt idx="2">
                <c:v>50</c:v>
              </c:pt>
              <c:pt idx="3">
                <c:v>40</c:v>
              </c:pt>
              <c:pt idx="4">
                <c:v>30</c:v>
              </c:pt>
              <c:pt idx="5">
                <c:v>20</c:v>
              </c:pt>
              <c:pt idx="6">
                <c:v>10</c:v>
              </c:pt>
              <c:pt idx="7">
                <c:v>0</c:v>
              </c:pt>
            </c:numLit>
          </c:xVal>
          <c:yVal>
            <c:numLit>
              <c:formatCode>General</c:formatCode>
              <c:ptCount val="8"/>
              <c:pt idx="0">
                <c:v>0</c:v>
              </c:pt>
              <c:pt idx="1">
                <c:v>7</c:v>
              </c:pt>
              <c:pt idx="2">
                <c:v>14.5</c:v>
              </c:pt>
              <c:pt idx="3">
                <c:v>21</c:v>
              </c:pt>
              <c:pt idx="4">
                <c:v>26.5</c:v>
              </c:pt>
              <c:pt idx="5">
                <c:v>31</c:v>
              </c:pt>
              <c:pt idx="6">
                <c:v>34.5</c:v>
              </c:pt>
              <c:pt idx="7">
                <c:v>37</c:v>
              </c:pt>
            </c:numLit>
          </c:yVal>
          <c:smooth val="1"/>
          <c:extLst xmlns:c16r2="http://schemas.microsoft.com/office/drawing/2015/06/chart">
            <c:ext xmlns:c16="http://schemas.microsoft.com/office/drawing/2014/chart" uri="{C3380CC4-5D6E-409C-BE32-E72D297353CC}">
              <c16:uniqueId val="{00000004-B0BF-435A-A1B9-A885FD2C3E72}"/>
            </c:ext>
          </c:extLst>
        </c:ser>
        <c:ser>
          <c:idx val="5"/>
          <c:order val="5"/>
          <c:tx>
            <c:v>Liberty 290</c:v>
          </c:tx>
          <c:spPr>
            <a:ln w="19050" cap="rnd">
              <a:solidFill>
                <a:schemeClr val="accent6"/>
              </a:solidFill>
              <a:round/>
            </a:ln>
            <a:effectLst/>
          </c:spPr>
          <c:marker>
            <c:symbol val="none"/>
          </c:marker>
          <c:xVal>
            <c:numLit>
              <c:formatCode>General</c:formatCode>
              <c:ptCount val="9"/>
              <c:pt idx="0">
                <c:v>80</c:v>
              </c:pt>
              <c:pt idx="1">
                <c:v>70</c:v>
              </c:pt>
              <c:pt idx="2">
                <c:v>60</c:v>
              </c:pt>
              <c:pt idx="3">
                <c:v>50</c:v>
              </c:pt>
              <c:pt idx="4">
                <c:v>40</c:v>
              </c:pt>
              <c:pt idx="5">
                <c:v>30</c:v>
              </c:pt>
              <c:pt idx="6">
                <c:v>20</c:v>
              </c:pt>
              <c:pt idx="7">
                <c:v>10</c:v>
              </c:pt>
              <c:pt idx="8">
                <c:v>0</c:v>
              </c:pt>
            </c:numLit>
          </c:xVal>
          <c:yVal>
            <c:numLit>
              <c:formatCode>General</c:formatCode>
              <c:ptCount val="9"/>
              <c:pt idx="0">
                <c:v>2.8</c:v>
              </c:pt>
              <c:pt idx="1">
                <c:v>11.75</c:v>
              </c:pt>
              <c:pt idx="2">
                <c:v>18.666</c:v>
              </c:pt>
              <c:pt idx="3">
                <c:v>25.33</c:v>
              </c:pt>
              <c:pt idx="4">
                <c:v>31.5</c:v>
              </c:pt>
              <c:pt idx="5">
                <c:v>37</c:v>
              </c:pt>
              <c:pt idx="6">
                <c:v>41.8</c:v>
              </c:pt>
              <c:pt idx="7">
                <c:v>45.6</c:v>
              </c:pt>
              <c:pt idx="8">
                <c:v>48</c:v>
              </c:pt>
            </c:numLit>
          </c:yVal>
          <c:smooth val="1"/>
          <c:extLst xmlns:c16r2="http://schemas.microsoft.com/office/drawing/2015/06/chart">
            <c:ext xmlns:c16="http://schemas.microsoft.com/office/drawing/2014/chart" uri="{C3380CC4-5D6E-409C-BE32-E72D297353CC}">
              <c16:uniqueId val="{00000005-B0BF-435A-A1B9-A885FD2C3E72}"/>
            </c:ext>
          </c:extLst>
        </c:ser>
        <c:ser>
          <c:idx val="6"/>
          <c:order val="6"/>
          <c:tx>
            <c:v>Liberty FL50</c:v>
          </c:tx>
          <c:spPr>
            <a:ln w="19050" cap="rnd">
              <a:solidFill>
                <a:schemeClr val="accent1">
                  <a:lumMod val="60000"/>
                </a:schemeClr>
              </a:solidFill>
              <a:round/>
            </a:ln>
            <a:effectLst/>
          </c:spPr>
          <c:marker>
            <c:symbol val="none"/>
          </c:marker>
          <c:xVal>
            <c:numLit>
              <c:formatCode>General</c:formatCode>
              <c:ptCount val="10"/>
              <c:pt idx="0">
                <c:v>90</c:v>
              </c:pt>
              <c:pt idx="1">
                <c:v>80</c:v>
              </c:pt>
              <c:pt idx="2">
                <c:v>70</c:v>
              </c:pt>
              <c:pt idx="3">
                <c:v>60</c:v>
              </c:pt>
              <c:pt idx="4">
                <c:v>50</c:v>
              </c:pt>
              <c:pt idx="5">
                <c:v>40</c:v>
              </c:pt>
              <c:pt idx="6">
                <c:v>30</c:v>
              </c:pt>
              <c:pt idx="7">
                <c:v>20</c:v>
              </c:pt>
              <c:pt idx="8">
                <c:v>10</c:v>
              </c:pt>
              <c:pt idx="9">
                <c:v>0</c:v>
              </c:pt>
            </c:numLit>
          </c:xVal>
          <c:yVal>
            <c:numLit>
              <c:formatCode>General</c:formatCode>
              <c:ptCount val="10"/>
              <c:pt idx="0">
                <c:v>3</c:v>
              </c:pt>
              <c:pt idx="1">
                <c:v>12.5</c:v>
              </c:pt>
              <c:pt idx="2">
                <c:v>20.75</c:v>
              </c:pt>
              <c:pt idx="3">
                <c:v>27.75</c:v>
              </c:pt>
              <c:pt idx="4">
                <c:v>33.665999999999897</c:v>
              </c:pt>
              <c:pt idx="5">
                <c:v>38.75</c:v>
              </c:pt>
              <c:pt idx="6">
                <c:v>43.25</c:v>
              </c:pt>
              <c:pt idx="7">
                <c:v>47.332999999999899</c:v>
              </c:pt>
              <c:pt idx="8">
                <c:v>51.2</c:v>
              </c:pt>
              <c:pt idx="9">
                <c:v>55</c:v>
              </c:pt>
            </c:numLit>
          </c:yVal>
          <c:smooth val="1"/>
          <c:extLst xmlns:c16r2="http://schemas.microsoft.com/office/drawing/2015/06/chart">
            <c:ext xmlns:c16="http://schemas.microsoft.com/office/drawing/2014/chart" uri="{C3380CC4-5D6E-409C-BE32-E72D297353CC}">
              <c16:uniqueId val="{00000006-B0BF-435A-A1B9-A885FD2C3E72}"/>
            </c:ext>
          </c:extLst>
        </c:ser>
        <c:ser>
          <c:idx val="7"/>
          <c:order val="7"/>
          <c:tx>
            <c:v>Operation point</c:v>
          </c:tx>
          <c:marker>
            <c:symbol val="circle"/>
            <c:size val="7"/>
            <c:spPr>
              <a:solidFill>
                <a:schemeClr val="accent2">
                  <a:lumMod val="50000"/>
                </a:schemeClr>
              </a:solidFill>
              <a:ln>
                <a:noFill/>
              </a:ln>
            </c:spPr>
          </c:marker>
          <c:xVal>
            <c:numRef>
              <c:f>'Pump calculator'!$B$14</c:f>
              <c:numCache>
                <c:formatCode>0.00</c:formatCode>
                <c:ptCount val="1"/>
                <c:pt idx="0">
                  <c:v>0</c:v>
                </c:pt>
              </c:numCache>
            </c:numRef>
          </c:xVal>
          <c:yVal>
            <c:numRef>
              <c:f>'Pump calculator'!$B$13</c:f>
              <c:numCache>
                <c:formatCode>0.00</c:formatCode>
                <c:ptCount val="1"/>
                <c:pt idx="0">
                  <c:v>0</c:v>
                </c:pt>
              </c:numCache>
            </c:numRef>
          </c:yVal>
          <c:smooth val="1"/>
          <c:extLst xmlns:c16r2="http://schemas.microsoft.com/office/drawing/2015/06/chart">
            <c:ext xmlns:c16="http://schemas.microsoft.com/office/drawing/2014/chart" uri="{C3380CC4-5D6E-409C-BE32-E72D297353CC}">
              <c16:uniqueId val="{0000000A-B0BF-435A-A1B9-A885FD2C3E72}"/>
            </c:ext>
          </c:extLst>
        </c:ser>
        <c:dLbls>
          <c:showLegendKey val="0"/>
          <c:showVal val="0"/>
          <c:showCatName val="0"/>
          <c:showSerName val="0"/>
          <c:showPercent val="0"/>
          <c:showBubbleSize val="0"/>
        </c:dLbls>
        <c:axId val="422411344"/>
        <c:axId val="422415656"/>
      </c:scatterChart>
      <c:valAx>
        <c:axId val="4224113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Flow (gpm)</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22415656"/>
        <c:crosses val="autoZero"/>
        <c:crossBetween val="midCat"/>
      </c:valAx>
      <c:valAx>
        <c:axId val="422415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Head loss (ft)</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411344"/>
        <c:crosses val="autoZero"/>
        <c:crossBetween val="midCat"/>
      </c:valAx>
      <c:spPr>
        <a:noFill/>
        <a:ln w="25400">
          <a:noFill/>
        </a:ln>
      </c:spPr>
    </c:plotArea>
    <c:legend>
      <c:legendPos val="r"/>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m/10m lin</c:v>
          </c:tx>
          <c:spPr>
            <a:ln w="28575">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11"/>
              <c:pt idx="0">
                <c:v>5</c:v>
              </c:pt>
              <c:pt idx="1">
                <c:v>9</c:v>
              </c:pt>
              <c:pt idx="2">
                <c:v>10</c:v>
              </c:pt>
              <c:pt idx="3">
                <c:v>12</c:v>
              </c:pt>
              <c:pt idx="4">
                <c:v>15</c:v>
              </c:pt>
              <c:pt idx="5">
                <c:v>18</c:v>
              </c:pt>
              <c:pt idx="6">
                <c:v>24</c:v>
              </c:pt>
              <c:pt idx="7">
                <c:v>27</c:v>
              </c:pt>
              <c:pt idx="8">
                <c:v>30</c:v>
              </c:pt>
              <c:pt idx="9">
                <c:v>35</c:v>
              </c:pt>
              <c:pt idx="10">
                <c:v>40</c:v>
              </c:pt>
            </c:numLit>
          </c:xVal>
          <c:yVal>
            <c:numLit>
              <c:formatCode>General</c:formatCode>
              <c:ptCount val="11"/>
              <c:pt idx="0">
                <c:v>0.04</c:v>
              </c:pt>
              <c:pt idx="1">
                <c:v>0.12</c:v>
              </c:pt>
              <c:pt idx="2">
                <c:v>0.14799999999999899</c:v>
              </c:pt>
              <c:pt idx="3">
                <c:v>0.20799999999999999</c:v>
              </c:pt>
              <c:pt idx="4">
                <c:v>0.313999999999999</c:v>
              </c:pt>
              <c:pt idx="5">
                <c:v>0.44</c:v>
              </c:pt>
              <c:pt idx="6">
                <c:v>0.75</c:v>
              </c:pt>
              <c:pt idx="7">
                <c:v>0.92599999999999905</c:v>
              </c:pt>
              <c:pt idx="8">
                <c:v>1.32</c:v>
              </c:pt>
              <c:pt idx="9">
                <c:v>1.514</c:v>
              </c:pt>
              <c:pt idx="10">
                <c:v>1.952</c:v>
              </c:pt>
            </c:numLit>
          </c:yVal>
          <c:smooth val="0"/>
          <c:extLst xmlns:c16r2="http://schemas.microsoft.com/office/drawing/2015/06/chart">
            <c:ext xmlns:c16="http://schemas.microsoft.com/office/drawing/2014/chart" uri="{C3380CC4-5D6E-409C-BE32-E72D297353CC}">
              <c16:uniqueId val="{00000001-A1B6-45C7-9203-A8842B17CCB3}"/>
            </c:ext>
          </c:extLst>
        </c:ser>
        <c:dLbls>
          <c:showLegendKey val="0"/>
          <c:showVal val="0"/>
          <c:showCatName val="0"/>
          <c:showSerName val="0"/>
          <c:showPercent val="0"/>
          <c:showBubbleSize val="0"/>
        </c:dLbls>
        <c:axId val="422415264"/>
        <c:axId val="422412912"/>
      </c:scatterChart>
      <c:valAx>
        <c:axId val="4224152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Nb pipes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22412912"/>
        <c:crosses val="autoZero"/>
        <c:crossBetween val="midCat"/>
      </c:valAx>
      <c:valAx>
        <c:axId val="42241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Pertes</a:t>
                </a:r>
                <a:r>
                  <a:rPr lang="fr-CA" baseline="0"/>
                  <a:t> de charges (m/10m lin)</a:t>
                </a:r>
                <a:endParaRPr lang="fr-CA"/>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41526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L/s</c:v>
          </c:tx>
          <c:spPr>
            <a:ln w="28575">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8.2104838453921747E-2"/>
                  <c:y val="-4.477466148117672E-3"/>
                </c:manualLayout>
              </c:layout>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11"/>
              <c:pt idx="0">
                <c:v>5</c:v>
              </c:pt>
              <c:pt idx="1">
                <c:v>9</c:v>
              </c:pt>
              <c:pt idx="2">
                <c:v>10</c:v>
              </c:pt>
              <c:pt idx="3">
                <c:v>12</c:v>
              </c:pt>
              <c:pt idx="4">
                <c:v>15</c:v>
              </c:pt>
              <c:pt idx="5">
                <c:v>18</c:v>
              </c:pt>
              <c:pt idx="6">
                <c:v>24</c:v>
              </c:pt>
              <c:pt idx="7">
                <c:v>27</c:v>
              </c:pt>
              <c:pt idx="8">
                <c:v>30</c:v>
              </c:pt>
              <c:pt idx="9">
                <c:v>35</c:v>
              </c:pt>
              <c:pt idx="10">
                <c:v>40</c:v>
              </c:pt>
            </c:numLit>
          </c:xVal>
          <c:yVal>
            <c:numLit>
              <c:formatCode>General</c:formatCode>
              <c:ptCount val="11"/>
              <c:pt idx="0">
                <c:v>0.39</c:v>
              </c:pt>
              <c:pt idx="1">
                <c:v>0.7</c:v>
              </c:pt>
              <c:pt idx="2">
                <c:v>0.77</c:v>
              </c:pt>
              <c:pt idx="3">
                <c:v>0.93</c:v>
              </c:pt>
              <c:pt idx="4">
                <c:v>1.1599999999999899</c:v>
              </c:pt>
              <c:pt idx="5">
                <c:v>1.39</c:v>
              </c:pt>
              <c:pt idx="6">
                <c:v>1.86</c:v>
              </c:pt>
              <c:pt idx="7">
                <c:v>2.09</c:v>
              </c:pt>
              <c:pt idx="8">
                <c:v>2.3199999999999901</c:v>
              </c:pt>
              <c:pt idx="9">
                <c:v>2.72</c:v>
              </c:pt>
              <c:pt idx="10">
                <c:v>3.12</c:v>
              </c:pt>
            </c:numLit>
          </c:yVal>
          <c:smooth val="0"/>
          <c:extLst xmlns:c16r2="http://schemas.microsoft.com/office/drawing/2015/06/chart">
            <c:ext xmlns:c16="http://schemas.microsoft.com/office/drawing/2014/chart" uri="{C3380CC4-5D6E-409C-BE32-E72D297353CC}">
              <c16:uniqueId val="{00000001-2DA5-46AB-B517-DFAF6E0C7B53}"/>
            </c:ext>
          </c:extLst>
        </c:ser>
        <c:dLbls>
          <c:showLegendKey val="0"/>
          <c:showVal val="0"/>
          <c:showCatName val="0"/>
          <c:showSerName val="0"/>
          <c:showPercent val="0"/>
          <c:showBubbleSize val="0"/>
        </c:dLbls>
        <c:axId val="422411736"/>
        <c:axId val="422413304"/>
      </c:scatterChart>
      <c:valAx>
        <c:axId val="422411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Nb pipes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22413304"/>
        <c:crosses val="autoZero"/>
        <c:crossBetween val="midCat"/>
      </c:valAx>
      <c:valAx>
        <c:axId val="422413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Débit min (L/s)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41173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 m</c:v>
          </c:tx>
          <c:spPr>
            <a:ln w="28575">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405074940676554"/>
                  <c:y val="3.3092044435565175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t>y = 0,0028x</a:t>
                    </a:r>
                    <a:r>
                      <a:rPr lang="en-US" baseline="30000"/>
                      <a:t>2</a:t>
                    </a:r>
                    <a:r>
                      <a:rPr lang="en-US" baseline="0"/>
                      <a:t> - 0,0016x + 0,6814</a:t>
                    </a:r>
                    <a:br>
                      <a:rPr lang="en-US" baseline="0"/>
                    </a:br>
                    <a:r>
                      <a:rPr lang="en-US" baseline="0"/>
                      <a:t>
R² = 0,99</a:t>
                    </a:r>
                    <a:endParaRPr lang="en-US" sz="1050"/>
                  </a:p>
                </c:rich>
              </c:tx>
              <c:numFmt formatCode="General" sourceLinked="0"/>
              <c:spPr>
                <a:noFill/>
                <a:ln w="25400">
                  <a:noFill/>
                </a:ln>
              </c:spPr>
            </c:trendlineLbl>
          </c:trendline>
          <c:xVal>
            <c:numLit>
              <c:formatCode>General</c:formatCode>
              <c:ptCount val="11"/>
              <c:pt idx="0">
                <c:v>5</c:v>
              </c:pt>
              <c:pt idx="1">
                <c:v>9</c:v>
              </c:pt>
              <c:pt idx="2">
                <c:v>10</c:v>
              </c:pt>
              <c:pt idx="3">
                <c:v>12</c:v>
              </c:pt>
              <c:pt idx="4">
                <c:v>15</c:v>
              </c:pt>
              <c:pt idx="5">
                <c:v>18</c:v>
              </c:pt>
              <c:pt idx="6">
                <c:v>24</c:v>
              </c:pt>
              <c:pt idx="7">
                <c:v>27</c:v>
              </c:pt>
              <c:pt idx="8">
                <c:v>30</c:v>
              </c:pt>
              <c:pt idx="9">
                <c:v>35</c:v>
              </c:pt>
              <c:pt idx="10">
                <c:v>40</c:v>
              </c:pt>
            </c:numLit>
          </c:xVal>
          <c:yVal>
            <c:numLit>
              <c:formatCode>General</c:formatCode>
              <c:ptCount val="11"/>
              <c:pt idx="0">
                <c:v>0.73</c:v>
              </c:pt>
              <c:pt idx="1">
                <c:v>0.88</c:v>
              </c:pt>
              <c:pt idx="2">
                <c:v>0.94</c:v>
              </c:pt>
              <c:pt idx="3">
                <c:v>1.1000000000000001</c:v>
              </c:pt>
              <c:pt idx="4">
                <c:v>1.29</c:v>
              </c:pt>
              <c:pt idx="5">
                <c:v>1.61</c:v>
              </c:pt>
              <c:pt idx="6">
                <c:v>2.29</c:v>
              </c:pt>
              <c:pt idx="7">
                <c:v>2.62</c:v>
              </c:pt>
              <c:pt idx="8">
                <c:v>3.17</c:v>
              </c:pt>
              <c:pt idx="9">
                <c:v>4.08</c:v>
              </c:pt>
              <c:pt idx="10">
                <c:v>5.15</c:v>
              </c:pt>
            </c:numLit>
          </c:yVal>
          <c:smooth val="0"/>
          <c:extLst xmlns:c16r2="http://schemas.microsoft.com/office/drawing/2015/06/chart">
            <c:ext xmlns:c16="http://schemas.microsoft.com/office/drawing/2014/chart" uri="{C3380CC4-5D6E-409C-BE32-E72D297353CC}">
              <c16:uniqueId val="{00000001-6FDE-422D-A47A-C5122E6E07A3}"/>
            </c:ext>
          </c:extLst>
        </c:ser>
        <c:dLbls>
          <c:showLegendKey val="0"/>
          <c:showVal val="0"/>
          <c:showCatName val="0"/>
          <c:showSerName val="0"/>
          <c:showPercent val="0"/>
          <c:showBubbleSize val="0"/>
        </c:dLbls>
        <c:axId val="422413696"/>
        <c:axId val="422414088"/>
      </c:scatterChart>
      <c:valAx>
        <c:axId val="422413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Nb</a:t>
                </a:r>
                <a:r>
                  <a:rPr lang="fr-CA" baseline="0"/>
                  <a:t> pipes</a:t>
                </a:r>
                <a:endParaRPr lang="fr-CA"/>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22414088"/>
        <c:crosses val="autoZero"/>
        <c:crossBetween val="midCat"/>
      </c:valAx>
      <c:valAx>
        <c:axId val="422414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A"/>
                  <a:t>Pertes</a:t>
                </a:r>
                <a:r>
                  <a:rPr lang="fr-CA" baseline="0"/>
                  <a:t> de charges </a:t>
                </a:r>
                <a:r>
                  <a:rPr lang="fr-CA"/>
                  <a:t>à 0 m</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41369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Zoeller 151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Lit>
              <c:formatCode>General</c:formatCode>
              <c:ptCount val="5"/>
              <c:pt idx="0">
                <c:v>50</c:v>
              </c:pt>
              <c:pt idx="1">
                <c:v>45</c:v>
              </c:pt>
              <c:pt idx="2">
                <c:v>38</c:v>
              </c:pt>
              <c:pt idx="3">
                <c:v>29</c:v>
              </c:pt>
              <c:pt idx="4">
                <c:v>16</c:v>
              </c:pt>
            </c:numLit>
          </c:xVal>
          <c:yVal>
            <c:numLit>
              <c:formatCode>General</c:formatCode>
              <c:ptCount val="5"/>
              <c:pt idx="0">
                <c:v>5</c:v>
              </c:pt>
              <c:pt idx="1">
                <c:v>10</c:v>
              </c:pt>
              <c:pt idx="2">
                <c:v>15</c:v>
              </c:pt>
              <c:pt idx="3">
                <c:v>20</c:v>
              </c:pt>
              <c:pt idx="4">
                <c:v>25</c:v>
              </c:pt>
            </c:numLit>
          </c:yVal>
          <c:smooth val="1"/>
          <c:extLst xmlns:c16r2="http://schemas.microsoft.com/office/drawing/2015/06/chart">
            <c:ext xmlns:c16="http://schemas.microsoft.com/office/drawing/2014/chart" uri="{C3380CC4-5D6E-409C-BE32-E72D297353CC}">
              <c16:uniqueId val="{00000000-5208-4CA5-9429-2A106CA5C1B7}"/>
            </c:ext>
          </c:extLst>
        </c:ser>
        <c:ser>
          <c:idx val="1"/>
          <c:order val="1"/>
          <c:tx>
            <c:v>Zoeller 152</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Lit>
              <c:formatCode>General</c:formatCode>
              <c:ptCount val="6"/>
              <c:pt idx="0">
                <c:v>69</c:v>
              </c:pt>
              <c:pt idx="1">
                <c:v>61</c:v>
              </c:pt>
              <c:pt idx="2">
                <c:v>53</c:v>
              </c:pt>
              <c:pt idx="3">
                <c:v>44</c:v>
              </c:pt>
              <c:pt idx="4">
                <c:v>34</c:v>
              </c:pt>
              <c:pt idx="5">
                <c:v>23</c:v>
              </c:pt>
            </c:numLit>
          </c:xVal>
          <c:yVal>
            <c:numLit>
              <c:formatCode>General</c:formatCode>
              <c:ptCount val="6"/>
              <c:pt idx="0">
                <c:v>5</c:v>
              </c:pt>
              <c:pt idx="1">
                <c:v>10</c:v>
              </c:pt>
              <c:pt idx="2">
                <c:v>15</c:v>
              </c:pt>
              <c:pt idx="3">
                <c:v>20</c:v>
              </c:pt>
              <c:pt idx="4">
                <c:v>25</c:v>
              </c:pt>
              <c:pt idx="5">
                <c:v>30</c:v>
              </c:pt>
            </c:numLit>
          </c:yVal>
          <c:smooth val="1"/>
          <c:extLst xmlns:c16r2="http://schemas.microsoft.com/office/drawing/2015/06/chart">
            <c:ext xmlns:c16="http://schemas.microsoft.com/office/drawing/2014/chart" uri="{C3380CC4-5D6E-409C-BE32-E72D297353CC}">
              <c16:uniqueId val="{00000001-5208-4CA5-9429-2A106CA5C1B7}"/>
            </c:ext>
          </c:extLst>
        </c:ser>
        <c:ser>
          <c:idx val="2"/>
          <c:order val="2"/>
          <c:tx>
            <c:v>Zoeller 153</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Lit>
              <c:formatCode>General</c:formatCode>
              <c:ptCount val="8"/>
              <c:pt idx="0">
                <c:v>77</c:v>
              </c:pt>
              <c:pt idx="1">
                <c:v>70</c:v>
              </c:pt>
              <c:pt idx="2">
                <c:v>61</c:v>
              </c:pt>
              <c:pt idx="3">
                <c:v>52</c:v>
              </c:pt>
              <c:pt idx="4">
                <c:v>42</c:v>
              </c:pt>
              <c:pt idx="5">
                <c:v>33</c:v>
              </c:pt>
              <c:pt idx="6">
                <c:v>22</c:v>
              </c:pt>
              <c:pt idx="7">
                <c:v>11</c:v>
              </c:pt>
            </c:numLit>
          </c:xVal>
          <c:yVal>
            <c:numLit>
              <c:formatCode>General</c:formatCode>
              <c:ptCount val="8"/>
              <c:pt idx="0">
                <c:v>5</c:v>
              </c:pt>
              <c:pt idx="1">
                <c:v>10</c:v>
              </c:pt>
              <c:pt idx="2">
                <c:v>15</c:v>
              </c:pt>
              <c:pt idx="3">
                <c:v>20</c:v>
              </c:pt>
              <c:pt idx="4">
                <c:v>25</c:v>
              </c:pt>
              <c:pt idx="5">
                <c:v>30</c:v>
              </c:pt>
              <c:pt idx="6">
                <c:v>35</c:v>
              </c:pt>
              <c:pt idx="7">
                <c:v>40</c:v>
              </c:pt>
            </c:numLit>
          </c:yVal>
          <c:smooth val="1"/>
          <c:extLst xmlns:c16r2="http://schemas.microsoft.com/office/drawing/2015/06/chart">
            <c:ext xmlns:c16="http://schemas.microsoft.com/office/drawing/2014/chart" uri="{C3380CC4-5D6E-409C-BE32-E72D297353CC}">
              <c16:uniqueId val="{00000002-5208-4CA5-9429-2A106CA5C1B7}"/>
            </c:ext>
          </c:extLst>
        </c:ser>
        <c:ser>
          <c:idx val="3"/>
          <c:order val="3"/>
          <c:tx>
            <c:v>Liberty 250</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Lit>
              <c:formatCode>General</c:formatCode>
              <c:ptCount val="6"/>
              <c:pt idx="0">
                <c:v>50</c:v>
              </c:pt>
              <c:pt idx="1">
                <c:v>40</c:v>
              </c:pt>
              <c:pt idx="2">
                <c:v>30</c:v>
              </c:pt>
              <c:pt idx="3">
                <c:v>20</c:v>
              </c:pt>
              <c:pt idx="4">
                <c:v>10</c:v>
              </c:pt>
              <c:pt idx="5">
                <c:v>0</c:v>
              </c:pt>
            </c:numLit>
          </c:xVal>
          <c:yVal>
            <c:numLit>
              <c:formatCode>General</c:formatCode>
              <c:ptCount val="6"/>
              <c:pt idx="0">
                <c:v>1</c:v>
              </c:pt>
              <c:pt idx="1">
                <c:v>8</c:v>
              </c:pt>
              <c:pt idx="2">
                <c:v>13.5</c:v>
              </c:pt>
              <c:pt idx="3">
                <c:v>18</c:v>
              </c:pt>
              <c:pt idx="4">
                <c:v>21</c:v>
              </c:pt>
              <c:pt idx="5">
                <c:v>23</c:v>
              </c:pt>
            </c:numLit>
          </c:yVal>
          <c:smooth val="1"/>
          <c:extLst xmlns:c16r2="http://schemas.microsoft.com/office/drawing/2015/06/chart">
            <c:ext xmlns:c16="http://schemas.microsoft.com/office/drawing/2014/chart" uri="{C3380CC4-5D6E-409C-BE32-E72D297353CC}">
              <c16:uniqueId val="{00000003-5208-4CA5-9429-2A106CA5C1B7}"/>
            </c:ext>
          </c:extLst>
        </c:ser>
        <c:ser>
          <c:idx val="4"/>
          <c:order val="4"/>
          <c:tx>
            <c:v>Liberty 280</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Lit>
              <c:formatCode>General</c:formatCode>
              <c:ptCount val="8"/>
              <c:pt idx="0">
                <c:v>67.5</c:v>
              </c:pt>
              <c:pt idx="1">
                <c:v>60</c:v>
              </c:pt>
              <c:pt idx="2">
                <c:v>50</c:v>
              </c:pt>
              <c:pt idx="3">
                <c:v>40</c:v>
              </c:pt>
              <c:pt idx="4">
                <c:v>30</c:v>
              </c:pt>
              <c:pt idx="5">
                <c:v>20</c:v>
              </c:pt>
              <c:pt idx="6">
                <c:v>10</c:v>
              </c:pt>
              <c:pt idx="7">
                <c:v>0</c:v>
              </c:pt>
            </c:numLit>
          </c:xVal>
          <c:yVal>
            <c:numLit>
              <c:formatCode>General</c:formatCode>
              <c:ptCount val="8"/>
              <c:pt idx="0">
                <c:v>0</c:v>
              </c:pt>
              <c:pt idx="1">
                <c:v>7</c:v>
              </c:pt>
              <c:pt idx="2">
                <c:v>14.5</c:v>
              </c:pt>
              <c:pt idx="3">
                <c:v>21</c:v>
              </c:pt>
              <c:pt idx="4">
                <c:v>26.5</c:v>
              </c:pt>
              <c:pt idx="5">
                <c:v>31</c:v>
              </c:pt>
              <c:pt idx="6">
                <c:v>34.5</c:v>
              </c:pt>
              <c:pt idx="7">
                <c:v>37</c:v>
              </c:pt>
            </c:numLit>
          </c:yVal>
          <c:smooth val="1"/>
          <c:extLst xmlns:c16r2="http://schemas.microsoft.com/office/drawing/2015/06/chart">
            <c:ext xmlns:c16="http://schemas.microsoft.com/office/drawing/2014/chart" uri="{C3380CC4-5D6E-409C-BE32-E72D297353CC}">
              <c16:uniqueId val="{00000004-5208-4CA5-9429-2A106CA5C1B7}"/>
            </c:ext>
          </c:extLst>
        </c:ser>
        <c:ser>
          <c:idx val="5"/>
          <c:order val="5"/>
          <c:tx>
            <c:v>Liberty 290</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Lit>
              <c:formatCode>General</c:formatCode>
              <c:ptCount val="9"/>
              <c:pt idx="0">
                <c:v>80</c:v>
              </c:pt>
              <c:pt idx="1">
                <c:v>70</c:v>
              </c:pt>
              <c:pt idx="2">
                <c:v>60</c:v>
              </c:pt>
              <c:pt idx="3">
                <c:v>50</c:v>
              </c:pt>
              <c:pt idx="4">
                <c:v>40</c:v>
              </c:pt>
              <c:pt idx="5">
                <c:v>30</c:v>
              </c:pt>
              <c:pt idx="6">
                <c:v>20</c:v>
              </c:pt>
              <c:pt idx="7">
                <c:v>10</c:v>
              </c:pt>
              <c:pt idx="8">
                <c:v>0</c:v>
              </c:pt>
            </c:numLit>
          </c:xVal>
          <c:yVal>
            <c:numLit>
              <c:formatCode>General</c:formatCode>
              <c:ptCount val="9"/>
              <c:pt idx="0">
                <c:v>2.8</c:v>
              </c:pt>
              <c:pt idx="1">
                <c:v>11.75</c:v>
              </c:pt>
              <c:pt idx="2">
                <c:v>18.666</c:v>
              </c:pt>
              <c:pt idx="3">
                <c:v>25.33</c:v>
              </c:pt>
              <c:pt idx="4">
                <c:v>31.5</c:v>
              </c:pt>
              <c:pt idx="5">
                <c:v>37</c:v>
              </c:pt>
              <c:pt idx="6">
                <c:v>41.8</c:v>
              </c:pt>
              <c:pt idx="7">
                <c:v>45.6</c:v>
              </c:pt>
              <c:pt idx="8">
                <c:v>48</c:v>
              </c:pt>
            </c:numLit>
          </c:yVal>
          <c:smooth val="1"/>
          <c:extLst xmlns:c16r2="http://schemas.microsoft.com/office/drawing/2015/06/chart">
            <c:ext xmlns:c16="http://schemas.microsoft.com/office/drawing/2014/chart" uri="{C3380CC4-5D6E-409C-BE32-E72D297353CC}">
              <c16:uniqueId val="{00000005-5208-4CA5-9429-2A106CA5C1B7}"/>
            </c:ext>
          </c:extLst>
        </c:ser>
        <c:ser>
          <c:idx val="6"/>
          <c:order val="6"/>
          <c:tx>
            <c:v>Liberty FL50</c:v>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Lit>
              <c:formatCode>General</c:formatCode>
              <c:ptCount val="10"/>
              <c:pt idx="0">
                <c:v>90</c:v>
              </c:pt>
              <c:pt idx="1">
                <c:v>80</c:v>
              </c:pt>
              <c:pt idx="2">
                <c:v>70</c:v>
              </c:pt>
              <c:pt idx="3">
                <c:v>60</c:v>
              </c:pt>
              <c:pt idx="4">
                <c:v>50</c:v>
              </c:pt>
              <c:pt idx="5">
                <c:v>40</c:v>
              </c:pt>
              <c:pt idx="6">
                <c:v>30</c:v>
              </c:pt>
              <c:pt idx="7">
                <c:v>20</c:v>
              </c:pt>
              <c:pt idx="8">
                <c:v>10</c:v>
              </c:pt>
              <c:pt idx="9">
                <c:v>0</c:v>
              </c:pt>
            </c:numLit>
          </c:xVal>
          <c:yVal>
            <c:numLit>
              <c:formatCode>General</c:formatCode>
              <c:ptCount val="10"/>
              <c:pt idx="0">
                <c:v>3</c:v>
              </c:pt>
              <c:pt idx="1">
                <c:v>12.5</c:v>
              </c:pt>
              <c:pt idx="2">
                <c:v>20.75</c:v>
              </c:pt>
              <c:pt idx="3">
                <c:v>27.75</c:v>
              </c:pt>
              <c:pt idx="4">
                <c:v>33.665999999999897</c:v>
              </c:pt>
              <c:pt idx="5">
                <c:v>38.75</c:v>
              </c:pt>
              <c:pt idx="6">
                <c:v>43.25</c:v>
              </c:pt>
              <c:pt idx="7">
                <c:v>47.332999999999899</c:v>
              </c:pt>
              <c:pt idx="8">
                <c:v>51.2</c:v>
              </c:pt>
              <c:pt idx="9">
                <c:v>55</c:v>
              </c:pt>
            </c:numLit>
          </c:yVal>
          <c:smooth val="1"/>
          <c:extLst xmlns:c16r2="http://schemas.microsoft.com/office/drawing/2015/06/chart">
            <c:ext xmlns:c16="http://schemas.microsoft.com/office/drawing/2014/chart" uri="{C3380CC4-5D6E-409C-BE32-E72D297353CC}">
              <c16:uniqueId val="{00000006-5208-4CA5-9429-2A106CA5C1B7}"/>
            </c:ext>
          </c:extLst>
        </c:ser>
        <c:dLbls>
          <c:showLegendKey val="0"/>
          <c:showVal val="0"/>
          <c:showCatName val="0"/>
          <c:showSerName val="0"/>
          <c:showPercent val="0"/>
          <c:showBubbleSize val="0"/>
        </c:dLbls>
        <c:axId val="422417224"/>
        <c:axId val="422417616"/>
      </c:scatterChart>
      <c:valAx>
        <c:axId val="422417224"/>
        <c:scaling>
          <c:orientation val="minMax"/>
        </c:scaling>
        <c:delete val="0"/>
        <c:axPos val="b"/>
        <c:majorGridlines>
          <c:spPr>
            <a:ln w="9525" cap="flat" cmpd="sng" algn="ctr">
              <a:solidFill>
                <a:schemeClr val="tx1">
                  <a:lumMod val="15000"/>
                  <a:lumOff val="85000"/>
                </a:schemeClr>
              </a:solidFill>
              <a:round/>
            </a:ln>
            <a:effectLst/>
          </c:spPr>
        </c:majorGridlines>
        <c:title>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422417616"/>
        <c:crosses val="autoZero"/>
        <c:crossBetween val="midCat"/>
      </c:valAx>
      <c:valAx>
        <c:axId val="42241761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417224"/>
        <c:crosses val="autoZero"/>
        <c:crossBetween val="midCat"/>
      </c:valAx>
      <c:spPr>
        <a:no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50" b="1" i="0" u="none" strike="noStrike" baseline="0">
                <a:solidFill>
                  <a:srgbClr val="000000"/>
                </a:solidFill>
                <a:latin typeface="Times New Roman"/>
                <a:ea typeface="Times New Roman"/>
                <a:cs typeface="Times New Roman"/>
              </a:defRPr>
            </a:pPr>
            <a:r>
              <a:rPr lang="fr-CA"/>
              <a:t>Équation quadratique</a:t>
            </a:r>
          </a:p>
        </c:rich>
      </c:tx>
      <c:layout>
        <c:manualLayout>
          <c:xMode val="edge"/>
          <c:yMode val="edge"/>
          <c:x val="0.2707966459944719"/>
          <c:y val="5.0185873605947957E-2"/>
        </c:manualLayout>
      </c:layout>
      <c:overlay val="0"/>
      <c:spPr>
        <a:noFill/>
        <a:ln w="25400">
          <a:noFill/>
        </a:ln>
      </c:spPr>
    </c:title>
    <c:autoTitleDeleted val="0"/>
    <c:plotArea>
      <c:layout>
        <c:manualLayout>
          <c:layoutTarget val="inner"/>
          <c:xMode val="edge"/>
          <c:yMode val="edge"/>
          <c:x val="0.12920365148269108"/>
          <c:y val="0.17472134816572174"/>
          <c:w val="0.72566434394388146"/>
          <c:h val="0.66171063773401007"/>
        </c:manualLayout>
      </c:layout>
      <c:scatterChart>
        <c:scatterStyle val="smoothMarker"/>
        <c:varyColors val="0"/>
        <c:ser>
          <c:idx val="0"/>
          <c:order val="0"/>
          <c:tx>
            <c:v>y</c:v>
          </c:tx>
          <c:spPr>
            <a:ln w="12700">
              <a:solidFill>
                <a:srgbClr val="000080"/>
              </a:solidFill>
              <a:prstDash val="solid"/>
            </a:ln>
          </c:spPr>
          <c:marker>
            <c:symbol val="none"/>
          </c:marker>
          <c:xVal>
            <c:numLit>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Lit>
          </c:xVal>
          <c:yVal>
            <c:numLit>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Lit>
          </c:yVal>
          <c:smooth val="1"/>
          <c:extLst xmlns:c16r2="http://schemas.microsoft.com/office/drawing/2015/06/chart">
            <c:ext xmlns:c16="http://schemas.microsoft.com/office/drawing/2014/chart" uri="{C3380CC4-5D6E-409C-BE32-E72D297353CC}">
              <c16:uniqueId val="{00000000-AF71-488E-912D-FBCBCF9A0E76}"/>
            </c:ext>
          </c:extLst>
        </c:ser>
        <c:dLbls>
          <c:showLegendKey val="0"/>
          <c:showVal val="0"/>
          <c:showCatName val="0"/>
          <c:showSerName val="0"/>
          <c:showPercent val="0"/>
          <c:showBubbleSize val="0"/>
        </c:dLbls>
        <c:axId val="423205160"/>
        <c:axId val="423207120"/>
      </c:scatterChart>
      <c:valAx>
        <c:axId val="423205160"/>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fr-CA"/>
                  <a:t>x</a:t>
                </a:r>
              </a:p>
            </c:rich>
          </c:tx>
          <c:layout>
            <c:manualLayout>
              <c:xMode val="edge"/>
              <c:yMode val="edge"/>
              <c:x val="0.46371718579425358"/>
              <c:y val="0.918216393954473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23207120"/>
        <c:crosses val="autoZero"/>
        <c:crossBetween val="midCat"/>
      </c:valAx>
      <c:valAx>
        <c:axId val="42320712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Times New Roman"/>
                    <a:ea typeface="Times New Roman"/>
                    <a:cs typeface="Times New Roman"/>
                  </a:defRPr>
                </a:pPr>
                <a:r>
                  <a:rPr lang="fr-CA"/>
                  <a:t>y</a:t>
                </a:r>
              </a:p>
            </c:rich>
          </c:tx>
          <c:layout>
            <c:manualLayout>
              <c:xMode val="edge"/>
              <c:yMode val="edge"/>
              <c:x val="2.831858407079646E-2"/>
              <c:y val="0.518587750880582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232051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0.98425196899999967" l="0.78740157499999996" r="0.78740157499999996" t="0.98425196899999967" header="0.49212598450000017" footer="0.49212598450000017"/>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7.jpeg"/><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1670685</xdr:colOff>
      <xdr:row>7</xdr:row>
      <xdr:rowOff>270782</xdr:rowOff>
    </xdr:from>
    <xdr:to>
      <xdr:col>1</xdr:col>
      <xdr:colOff>3393478</xdr:colOff>
      <xdr:row>7</xdr:row>
      <xdr:rowOff>758139</xdr:rowOff>
    </xdr:to>
    <xdr:sp macro="" textlink="">
      <xdr:nvSpPr>
        <xdr:cNvPr id="7" name="Flèche droite 6">
          <a:extLst>
            <a:ext uri="{FF2B5EF4-FFF2-40B4-BE49-F238E27FC236}">
              <a16:creationId xmlns:a16="http://schemas.microsoft.com/office/drawing/2014/main" xmlns="" id="{0AFD756D-F79A-81D9-DECD-5D07FB11F228}"/>
            </a:ext>
          </a:extLst>
        </xdr:cNvPr>
        <xdr:cNvSpPr/>
      </xdr:nvSpPr>
      <xdr:spPr>
        <a:xfrm>
          <a:off x="2442482" y="4557032"/>
          <a:ext cx="1726746" cy="477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3</xdr:col>
      <xdr:colOff>151313</xdr:colOff>
      <xdr:row>7</xdr:row>
      <xdr:rowOff>263434</xdr:rowOff>
    </xdr:from>
    <xdr:to>
      <xdr:col>3</xdr:col>
      <xdr:colOff>883774</xdr:colOff>
      <xdr:row>7</xdr:row>
      <xdr:rowOff>760094</xdr:rowOff>
    </xdr:to>
    <xdr:sp macro="" textlink="">
      <xdr:nvSpPr>
        <xdr:cNvPr id="8" name="Flèche droite 7">
          <a:extLst>
            <a:ext uri="{FF2B5EF4-FFF2-40B4-BE49-F238E27FC236}">
              <a16:creationId xmlns:a16="http://schemas.microsoft.com/office/drawing/2014/main" xmlns="" id="{A0822419-36C5-0288-004E-10F0B6247DE9}"/>
            </a:ext>
          </a:extLst>
        </xdr:cNvPr>
        <xdr:cNvSpPr/>
      </xdr:nvSpPr>
      <xdr:spPr>
        <a:xfrm>
          <a:off x="6183087" y="4542064"/>
          <a:ext cx="721178" cy="496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editAs="oneCell">
    <xdr:from>
      <xdr:col>5</xdr:col>
      <xdr:colOff>3143250</xdr:colOff>
      <xdr:row>0</xdr:row>
      <xdr:rowOff>733425</xdr:rowOff>
    </xdr:from>
    <xdr:to>
      <xdr:col>5</xdr:col>
      <xdr:colOff>6591300</xdr:colOff>
      <xdr:row>1</xdr:row>
      <xdr:rowOff>0</xdr:rowOff>
    </xdr:to>
    <xdr:pic>
      <xdr:nvPicPr>
        <xdr:cNvPr id="1072" name="Picture 93">
          <a:extLst>
            <a:ext uri="{FF2B5EF4-FFF2-40B4-BE49-F238E27FC236}">
              <a16:creationId xmlns:a16="http://schemas.microsoft.com/office/drawing/2014/main" xmlns="" id="{3F9CA7EB-F1E9-8151-B895-DF12EE7AA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733425"/>
          <a:ext cx="3448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0</xdr:rowOff>
    </xdr:from>
    <xdr:to>
      <xdr:col>2</xdr:col>
      <xdr:colOff>1123950</xdr:colOff>
      <xdr:row>1</xdr:row>
      <xdr:rowOff>38100</xdr:rowOff>
    </xdr:to>
    <xdr:pic>
      <xdr:nvPicPr>
        <xdr:cNvPr id="1073" name="Image 1">
          <a:extLst>
            <a:ext uri="{FF2B5EF4-FFF2-40B4-BE49-F238E27FC236}">
              <a16:creationId xmlns:a16="http://schemas.microsoft.com/office/drawing/2014/main" xmlns="" id="{B798B269-9CFD-E727-5B98-A22580FECB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0"/>
          <a:ext cx="46482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5505450</xdr:colOff>
      <xdr:row>0</xdr:row>
      <xdr:rowOff>0</xdr:rowOff>
    </xdr:from>
    <xdr:to>
      <xdr:col>5</xdr:col>
      <xdr:colOff>6629400</xdr:colOff>
      <xdr:row>0</xdr:row>
      <xdr:rowOff>704850</xdr:rowOff>
    </xdr:to>
    <xdr:pic>
      <xdr:nvPicPr>
        <xdr:cNvPr id="1074" name="Image 2">
          <a:extLst>
            <a:ext uri="{FF2B5EF4-FFF2-40B4-BE49-F238E27FC236}">
              <a16:creationId xmlns:a16="http://schemas.microsoft.com/office/drawing/2014/main" xmlns="" id="{32608407-F23D-7D3A-DAFF-BF57B2F829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35200" y="0"/>
          <a:ext cx="11239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533400</xdr:colOff>
      <xdr:row>3</xdr:row>
      <xdr:rowOff>85725</xdr:rowOff>
    </xdr:from>
    <xdr:to>
      <xdr:col>24</xdr:col>
      <xdr:colOff>523875</xdr:colOff>
      <xdr:row>32</xdr:row>
      <xdr:rowOff>104775</xdr:rowOff>
    </xdr:to>
    <xdr:pic>
      <xdr:nvPicPr>
        <xdr:cNvPr id="2058" name="Image 2">
          <a:extLst>
            <a:ext uri="{FF2B5EF4-FFF2-40B4-BE49-F238E27FC236}">
              <a16:creationId xmlns:a16="http://schemas.microsoft.com/office/drawing/2014/main" xmlns="" id="{49B6D902-1996-0ACF-D477-2A4BEA1E2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8225" y="571500"/>
          <a:ext cx="10020300"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77</xdr:row>
      <xdr:rowOff>47625</xdr:rowOff>
    </xdr:from>
    <xdr:to>
      <xdr:col>12</xdr:col>
      <xdr:colOff>400050</xdr:colOff>
      <xdr:row>95</xdr:row>
      <xdr:rowOff>209550</xdr:rowOff>
    </xdr:to>
    <xdr:pic>
      <xdr:nvPicPr>
        <xdr:cNvPr id="3271" name="Image 9">
          <a:extLst>
            <a:ext uri="{FF2B5EF4-FFF2-40B4-BE49-F238E27FC236}">
              <a16:creationId xmlns:a16="http://schemas.microsoft.com/office/drawing/2014/main" xmlns="" id="{144E0D08-A6C3-F1A8-938C-BA3A2D057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42" b="2821"/>
        <a:stretch>
          <a:fillRect/>
        </a:stretch>
      </xdr:blipFill>
      <xdr:spPr bwMode="auto">
        <a:xfrm>
          <a:off x="1514475" y="16964025"/>
          <a:ext cx="81343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39</xdr:row>
      <xdr:rowOff>66675</xdr:rowOff>
    </xdr:from>
    <xdr:to>
      <xdr:col>12</xdr:col>
      <xdr:colOff>895350</xdr:colOff>
      <xdr:row>65</xdr:row>
      <xdr:rowOff>57150</xdr:rowOff>
    </xdr:to>
    <xdr:pic>
      <xdr:nvPicPr>
        <xdr:cNvPr id="3272" name="Image 2">
          <a:extLst>
            <a:ext uri="{FF2B5EF4-FFF2-40B4-BE49-F238E27FC236}">
              <a16:creationId xmlns:a16="http://schemas.microsoft.com/office/drawing/2014/main" xmlns="" id="{BA774602-5748-28FF-E42A-A4026BD599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9867900"/>
          <a:ext cx="8667750"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4</xdr:row>
      <xdr:rowOff>123825</xdr:rowOff>
    </xdr:from>
    <xdr:to>
      <xdr:col>14</xdr:col>
      <xdr:colOff>971550</xdr:colOff>
      <xdr:row>9</xdr:row>
      <xdr:rowOff>0</xdr:rowOff>
    </xdr:to>
    <xdr:pic>
      <xdr:nvPicPr>
        <xdr:cNvPr id="3273" name="Picture 93">
          <a:extLst>
            <a:ext uri="{FF2B5EF4-FFF2-40B4-BE49-F238E27FC236}">
              <a16:creationId xmlns:a16="http://schemas.microsoft.com/office/drawing/2014/main" xmlns="" id="{A8BB2DB4-EC47-BE53-9EE1-1EAAC19E6EC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20125" y="771525"/>
          <a:ext cx="3467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777875</xdr:colOff>
      <xdr:row>39</xdr:row>
      <xdr:rowOff>17198</xdr:rowOff>
    </xdr:from>
    <xdr:to>
      <xdr:col>2</xdr:col>
      <xdr:colOff>861218</xdr:colOff>
      <xdr:row>40</xdr:row>
      <xdr:rowOff>112448</xdr:rowOff>
    </xdr:to>
    <xdr:cxnSp macro="">
      <xdr:nvCxnSpPr>
        <xdr:cNvPr id="4" name="Connecteur droit 3">
          <a:extLst>
            <a:ext uri="{FF2B5EF4-FFF2-40B4-BE49-F238E27FC236}">
              <a16:creationId xmlns:a16="http://schemas.microsoft.com/office/drawing/2014/main" xmlns="" id="{51F2AA36-9999-624E-FC0B-D9527873F9D7}"/>
            </a:ext>
          </a:extLst>
        </xdr:cNvPr>
        <xdr:cNvCxnSpPr/>
      </xdr:nvCxnSpPr>
      <xdr:spPr>
        <a:xfrm flipH="1" flipV="1">
          <a:off x="2238375" y="9753865"/>
          <a:ext cx="83343" cy="25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564173</xdr:colOff>
      <xdr:row>49</xdr:row>
      <xdr:rowOff>7327</xdr:rowOff>
    </xdr:from>
    <xdr:to>
      <xdr:col>13</xdr:col>
      <xdr:colOff>0</xdr:colOff>
      <xdr:row>52</xdr:row>
      <xdr:rowOff>73269</xdr:rowOff>
    </xdr:to>
    <xdr:cxnSp macro="">
      <xdr:nvCxnSpPr>
        <xdr:cNvPr id="6" name="Connecteur droit 5">
          <a:extLst>
            <a:ext uri="{FF2B5EF4-FFF2-40B4-BE49-F238E27FC236}">
              <a16:creationId xmlns:a16="http://schemas.microsoft.com/office/drawing/2014/main" xmlns="" id="{A0CD2315-FB8C-293E-F947-FE9E6E884699}"/>
            </a:ext>
          </a:extLst>
        </xdr:cNvPr>
        <xdr:cNvCxnSpPr/>
      </xdr:nvCxnSpPr>
      <xdr:spPr>
        <a:xfrm flipV="1">
          <a:off x="9796096" y="11430000"/>
          <a:ext cx="366346" cy="5495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732692</xdr:colOff>
      <xdr:row>53</xdr:row>
      <xdr:rowOff>65943</xdr:rowOff>
    </xdr:from>
    <xdr:to>
      <xdr:col>12</xdr:col>
      <xdr:colOff>923192</xdr:colOff>
      <xdr:row>57</xdr:row>
      <xdr:rowOff>14653</xdr:rowOff>
    </xdr:to>
    <xdr:cxnSp macro="">
      <xdr:nvCxnSpPr>
        <xdr:cNvPr id="9" name="Connecteur droit 8">
          <a:extLst>
            <a:ext uri="{FF2B5EF4-FFF2-40B4-BE49-F238E27FC236}">
              <a16:creationId xmlns:a16="http://schemas.microsoft.com/office/drawing/2014/main" xmlns="" id="{49F96293-297C-C7DB-55F9-B31CEC3DB321}"/>
            </a:ext>
          </a:extLst>
        </xdr:cNvPr>
        <xdr:cNvCxnSpPr/>
      </xdr:nvCxnSpPr>
      <xdr:spPr>
        <a:xfrm>
          <a:off x="9964615" y="12133385"/>
          <a:ext cx="190500" cy="593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232833</xdr:colOff>
      <xdr:row>64</xdr:row>
      <xdr:rowOff>84667</xdr:rowOff>
    </xdr:from>
    <xdr:to>
      <xdr:col>7</xdr:col>
      <xdr:colOff>476250</xdr:colOff>
      <xdr:row>66</xdr:row>
      <xdr:rowOff>10583</xdr:rowOff>
    </xdr:to>
    <xdr:cxnSp macro="">
      <xdr:nvCxnSpPr>
        <xdr:cNvPr id="14" name="Connecteur droit 13">
          <a:extLst>
            <a:ext uri="{FF2B5EF4-FFF2-40B4-BE49-F238E27FC236}">
              <a16:creationId xmlns:a16="http://schemas.microsoft.com/office/drawing/2014/main" xmlns="" id="{9F8873AA-B280-1943-FF52-386F97EA553B}"/>
            </a:ext>
          </a:extLst>
        </xdr:cNvPr>
        <xdr:cNvCxnSpPr/>
      </xdr:nvCxnSpPr>
      <xdr:spPr>
        <a:xfrm flipV="1">
          <a:off x="5693833" y="14086417"/>
          <a:ext cx="243417" cy="3386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899584</xdr:colOff>
      <xdr:row>47</xdr:row>
      <xdr:rowOff>63500</xdr:rowOff>
    </xdr:from>
    <xdr:to>
      <xdr:col>2</xdr:col>
      <xdr:colOff>306917</xdr:colOff>
      <xdr:row>49</xdr:row>
      <xdr:rowOff>21167</xdr:rowOff>
    </xdr:to>
    <xdr:cxnSp macro="">
      <xdr:nvCxnSpPr>
        <xdr:cNvPr id="17" name="Connecteur droit 16">
          <a:extLst>
            <a:ext uri="{FF2B5EF4-FFF2-40B4-BE49-F238E27FC236}">
              <a16:creationId xmlns:a16="http://schemas.microsoft.com/office/drawing/2014/main" xmlns="" id="{561DF27E-B23C-E4A2-710B-26B1EE0C97EE}"/>
            </a:ext>
          </a:extLst>
        </xdr:cNvPr>
        <xdr:cNvCxnSpPr/>
      </xdr:nvCxnSpPr>
      <xdr:spPr>
        <a:xfrm flipV="1">
          <a:off x="1449917" y="11207750"/>
          <a:ext cx="317500" cy="275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10583</xdr:colOff>
      <xdr:row>61</xdr:row>
      <xdr:rowOff>21166</xdr:rowOff>
    </xdr:from>
    <xdr:to>
      <xdr:col>2</xdr:col>
      <xdr:colOff>412750</xdr:colOff>
      <xdr:row>62</xdr:row>
      <xdr:rowOff>21166</xdr:rowOff>
    </xdr:to>
    <xdr:cxnSp macro="">
      <xdr:nvCxnSpPr>
        <xdr:cNvPr id="19" name="Connecteur droit 18">
          <a:extLst>
            <a:ext uri="{FF2B5EF4-FFF2-40B4-BE49-F238E27FC236}">
              <a16:creationId xmlns:a16="http://schemas.microsoft.com/office/drawing/2014/main" xmlns="" id="{E67CC2B3-2AE5-07D5-8F81-FB024BA579F9}"/>
            </a:ext>
          </a:extLst>
        </xdr:cNvPr>
        <xdr:cNvCxnSpPr/>
      </xdr:nvCxnSpPr>
      <xdr:spPr>
        <a:xfrm>
          <a:off x="1471083" y="13472583"/>
          <a:ext cx="402167" cy="15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82</xdr:row>
      <xdr:rowOff>21166</xdr:rowOff>
    </xdr:from>
    <xdr:to>
      <xdr:col>2</xdr:col>
      <xdr:colOff>164523</xdr:colOff>
      <xdr:row>84</xdr:row>
      <xdr:rowOff>147204</xdr:rowOff>
    </xdr:to>
    <xdr:cxnSp macro="">
      <xdr:nvCxnSpPr>
        <xdr:cNvPr id="25" name="Connecteur droit 24">
          <a:extLst>
            <a:ext uri="{FF2B5EF4-FFF2-40B4-BE49-F238E27FC236}">
              <a16:creationId xmlns:a16="http://schemas.microsoft.com/office/drawing/2014/main" xmlns="" id="{3276FF05-AB92-2B78-BAE7-C3E279407F7F}"/>
            </a:ext>
          </a:extLst>
        </xdr:cNvPr>
        <xdr:cNvCxnSpPr/>
      </xdr:nvCxnSpPr>
      <xdr:spPr>
        <a:xfrm flipH="1" flipV="1">
          <a:off x="1472045" y="17867552"/>
          <a:ext cx="164523" cy="4550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216477</xdr:colOff>
      <xdr:row>76</xdr:row>
      <xdr:rowOff>151534</xdr:rowOff>
    </xdr:from>
    <xdr:to>
      <xdr:col>4</xdr:col>
      <xdr:colOff>2886</xdr:colOff>
      <xdr:row>81</xdr:row>
      <xdr:rowOff>17318</xdr:rowOff>
    </xdr:to>
    <xdr:cxnSp macro="">
      <xdr:nvCxnSpPr>
        <xdr:cNvPr id="2533" name="Connecteur droit 2532">
          <a:extLst>
            <a:ext uri="{FF2B5EF4-FFF2-40B4-BE49-F238E27FC236}">
              <a16:creationId xmlns:a16="http://schemas.microsoft.com/office/drawing/2014/main" xmlns="" id="{30743243-A79A-2126-7CC3-C1484968783B}"/>
            </a:ext>
          </a:extLst>
        </xdr:cNvPr>
        <xdr:cNvCxnSpPr/>
      </xdr:nvCxnSpPr>
      <xdr:spPr>
        <a:xfrm flipV="1">
          <a:off x="2606386" y="17010784"/>
          <a:ext cx="557068" cy="688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198437</xdr:colOff>
      <xdr:row>77</xdr:row>
      <xdr:rowOff>7938</xdr:rowOff>
    </xdr:from>
    <xdr:to>
      <xdr:col>8</xdr:col>
      <xdr:colOff>666750</xdr:colOff>
      <xdr:row>81</xdr:row>
      <xdr:rowOff>63500</xdr:rowOff>
    </xdr:to>
    <xdr:cxnSp macro="">
      <xdr:nvCxnSpPr>
        <xdr:cNvPr id="2535" name="Connecteur droit 2534">
          <a:extLst>
            <a:ext uri="{FF2B5EF4-FFF2-40B4-BE49-F238E27FC236}">
              <a16:creationId xmlns:a16="http://schemas.microsoft.com/office/drawing/2014/main" xmlns="" id="{FA14B544-9F67-C399-3964-E27600AEEC5B}"/>
            </a:ext>
          </a:extLst>
        </xdr:cNvPr>
        <xdr:cNvCxnSpPr/>
      </xdr:nvCxnSpPr>
      <xdr:spPr>
        <a:xfrm flipH="1" flipV="1">
          <a:off x="6432020" y="16793105"/>
          <a:ext cx="468313" cy="690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415636</xdr:colOff>
      <xdr:row>93</xdr:row>
      <xdr:rowOff>95250</xdr:rowOff>
    </xdr:from>
    <xdr:to>
      <xdr:col>4</xdr:col>
      <xdr:colOff>10583</xdr:colOff>
      <xdr:row>96</xdr:row>
      <xdr:rowOff>10584</xdr:rowOff>
    </xdr:to>
    <xdr:cxnSp macro="">
      <xdr:nvCxnSpPr>
        <xdr:cNvPr id="2537" name="Connecteur droit 2536">
          <a:extLst>
            <a:ext uri="{FF2B5EF4-FFF2-40B4-BE49-F238E27FC236}">
              <a16:creationId xmlns:a16="http://schemas.microsoft.com/office/drawing/2014/main" xmlns="" id="{89A341A3-46F7-931C-3BBA-C3722398FFE9}"/>
            </a:ext>
          </a:extLst>
        </xdr:cNvPr>
        <xdr:cNvCxnSpPr/>
      </xdr:nvCxnSpPr>
      <xdr:spPr>
        <a:xfrm>
          <a:off x="2805545" y="19751386"/>
          <a:ext cx="365606" cy="495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381000</xdr:colOff>
      <xdr:row>95</xdr:row>
      <xdr:rowOff>173182</xdr:rowOff>
    </xdr:from>
    <xdr:to>
      <xdr:col>9</xdr:col>
      <xdr:colOff>9842</xdr:colOff>
      <xdr:row>95</xdr:row>
      <xdr:rowOff>240030</xdr:rowOff>
    </xdr:to>
    <xdr:cxnSp macro="">
      <xdr:nvCxnSpPr>
        <xdr:cNvPr id="2540" name="Connecteur droit 2539">
          <a:extLst>
            <a:ext uri="{FF2B5EF4-FFF2-40B4-BE49-F238E27FC236}">
              <a16:creationId xmlns:a16="http://schemas.microsoft.com/office/drawing/2014/main" xmlns="" id="{B0512040-E325-BC32-2C51-16255133F117}"/>
            </a:ext>
          </a:extLst>
        </xdr:cNvPr>
        <xdr:cNvCxnSpPr/>
      </xdr:nvCxnSpPr>
      <xdr:spPr>
        <a:xfrm>
          <a:off x="5974773" y="20374841"/>
          <a:ext cx="1274069" cy="668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259773</xdr:colOff>
      <xdr:row>93</xdr:row>
      <xdr:rowOff>17319</xdr:rowOff>
    </xdr:from>
    <xdr:to>
      <xdr:col>12</xdr:col>
      <xdr:colOff>928688</xdr:colOff>
      <xdr:row>94</xdr:row>
      <xdr:rowOff>55563</xdr:rowOff>
    </xdr:to>
    <xdr:cxnSp macro="">
      <xdr:nvCxnSpPr>
        <xdr:cNvPr id="2542" name="Connecteur droit 2541">
          <a:extLst>
            <a:ext uri="{FF2B5EF4-FFF2-40B4-BE49-F238E27FC236}">
              <a16:creationId xmlns:a16="http://schemas.microsoft.com/office/drawing/2014/main" xmlns="" id="{81878A81-814C-6A19-5AC2-3B3A8261DFDD}"/>
            </a:ext>
          </a:extLst>
        </xdr:cNvPr>
        <xdr:cNvCxnSpPr/>
      </xdr:nvCxnSpPr>
      <xdr:spPr>
        <a:xfrm flipH="1" flipV="1">
          <a:off x="9516341" y="19673455"/>
          <a:ext cx="668915" cy="2027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251114</xdr:colOff>
      <xdr:row>87</xdr:row>
      <xdr:rowOff>111125</xdr:rowOff>
    </xdr:from>
    <xdr:to>
      <xdr:col>12</xdr:col>
      <xdr:colOff>928688</xdr:colOff>
      <xdr:row>90</xdr:row>
      <xdr:rowOff>25977</xdr:rowOff>
    </xdr:to>
    <xdr:cxnSp macro="">
      <xdr:nvCxnSpPr>
        <xdr:cNvPr id="2544" name="Connecteur droit 2543">
          <a:extLst>
            <a:ext uri="{FF2B5EF4-FFF2-40B4-BE49-F238E27FC236}">
              <a16:creationId xmlns:a16="http://schemas.microsoft.com/office/drawing/2014/main" xmlns="" id="{4AF2B8FD-C658-387C-4D79-AAF43BD9D21D}"/>
            </a:ext>
          </a:extLst>
        </xdr:cNvPr>
        <xdr:cNvCxnSpPr/>
      </xdr:nvCxnSpPr>
      <xdr:spPr>
        <a:xfrm flipH="1">
          <a:off x="9507682" y="18780125"/>
          <a:ext cx="677574" cy="408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28575</xdr:colOff>
      <xdr:row>0</xdr:row>
      <xdr:rowOff>76200</xdr:rowOff>
    </xdr:from>
    <xdr:to>
      <xdr:col>7</xdr:col>
      <xdr:colOff>209550</xdr:colOff>
      <xdr:row>10</xdr:row>
      <xdr:rowOff>57150</xdr:rowOff>
    </xdr:to>
    <xdr:pic>
      <xdr:nvPicPr>
        <xdr:cNvPr id="3287" name="Image 6">
          <a:extLst>
            <a:ext uri="{FF2B5EF4-FFF2-40B4-BE49-F238E27FC236}">
              <a16:creationId xmlns:a16="http://schemas.microsoft.com/office/drawing/2014/main" xmlns="" id="{8A91666C-A2A6-1EB4-35BB-A565B8A6504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1025" y="76200"/>
          <a:ext cx="50958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752475</xdr:colOff>
      <xdr:row>0</xdr:row>
      <xdr:rowOff>0</xdr:rowOff>
    </xdr:from>
    <xdr:to>
      <xdr:col>14</xdr:col>
      <xdr:colOff>971550</xdr:colOff>
      <xdr:row>4</xdr:row>
      <xdr:rowOff>57150</xdr:rowOff>
    </xdr:to>
    <xdr:pic>
      <xdr:nvPicPr>
        <xdr:cNvPr id="3288" name="Image 7">
          <a:extLst>
            <a:ext uri="{FF2B5EF4-FFF2-40B4-BE49-F238E27FC236}">
              <a16:creationId xmlns:a16="http://schemas.microsoft.com/office/drawing/2014/main" xmlns="" id="{837E7AE2-303A-D1DC-DB6C-7103CD5C0C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934700" y="0"/>
          <a:ext cx="1152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155864</xdr:colOff>
      <xdr:row>83</xdr:row>
      <xdr:rowOff>114492</xdr:rowOff>
    </xdr:from>
    <xdr:to>
      <xdr:col>2</xdr:col>
      <xdr:colOff>159713</xdr:colOff>
      <xdr:row>85</xdr:row>
      <xdr:rowOff>95250</xdr:rowOff>
    </xdr:to>
    <xdr:cxnSp macro="">
      <xdr:nvCxnSpPr>
        <xdr:cNvPr id="20" name="Connecteur droit 19">
          <a:extLst>
            <a:ext uri="{FF2B5EF4-FFF2-40B4-BE49-F238E27FC236}">
              <a16:creationId xmlns:a16="http://schemas.microsoft.com/office/drawing/2014/main" xmlns="" id="{5DCCF1D3-948F-CDF9-AC57-B3898A8A1515}"/>
            </a:ext>
          </a:extLst>
        </xdr:cNvPr>
        <xdr:cNvCxnSpPr/>
      </xdr:nvCxnSpPr>
      <xdr:spPr>
        <a:xfrm flipH="1">
          <a:off x="1627909" y="18125401"/>
          <a:ext cx="3849" cy="309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225137</xdr:colOff>
      <xdr:row>84</xdr:row>
      <xdr:rowOff>162983</xdr:rowOff>
    </xdr:from>
    <xdr:to>
      <xdr:col>12</xdr:col>
      <xdr:colOff>231294</xdr:colOff>
      <xdr:row>86</xdr:row>
      <xdr:rowOff>60614</xdr:rowOff>
    </xdr:to>
    <xdr:cxnSp macro="">
      <xdr:nvCxnSpPr>
        <xdr:cNvPr id="21" name="Connecteur droit 20">
          <a:extLst>
            <a:ext uri="{FF2B5EF4-FFF2-40B4-BE49-F238E27FC236}">
              <a16:creationId xmlns:a16="http://schemas.microsoft.com/office/drawing/2014/main" xmlns="" id="{C71F6EE5-123B-4592-E718-027A99E46740}"/>
            </a:ext>
          </a:extLst>
        </xdr:cNvPr>
        <xdr:cNvCxnSpPr/>
      </xdr:nvCxnSpPr>
      <xdr:spPr>
        <a:xfrm flipH="1">
          <a:off x="9481705" y="18338415"/>
          <a:ext cx="6157" cy="226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222250</xdr:colOff>
      <xdr:row>83</xdr:row>
      <xdr:rowOff>129886</xdr:rowOff>
    </xdr:from>
    <xdr:to>
      <xdr:col>13</xdr:col>
      <xdr:colOff>17318</xdr:colOff>
      <xdr:row>85</xdr:row>
      <xdr:rowOff>123150</xdr:rowOff>
    </xdr:to>
    <xdr:cxnSp macro="">
      <xdr:nvCxnSpPr>
        <xdr:cNvPr id="27" name="Connecteur droit 26">
          <a:extLst>
            <a:ext uri="{FF2B5EF4-FFF2-40B4-BE49-F238E27FC236}">
              <a16:creationId xmlns:a16="http://schemas.microsoft.com/office/drawing/2014/main" xmlns="" id="{D0C8D97D-BEFE-9820-E8C2-83C77DBFCF4B}"/>
            </a:ext>
          </a:extLst>
        </xdr:cNvPr>
        <xdr:cNvCxnSpPr/>
      </xdr:nvCxnSpPr>
      <xdr:spPr>
        <a:xfrm flipH="1">
          <a:off x="9478818" y="18140795"/>
          <a:ext cx="730250" cy="322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686376</xdr:colOff>
      <xdr:row>89</xdr:row>
      <xdr:rowOff>128347</xdr:rowOff>
    </xdr:from>
    <xdr:to>
      <xdr:col>12</xdr:col>
      <xdr:colOff>0</xdr:colOff>
      <xdr:row>97</xdr:row>
      <xdr:rowOff>69273</xdr:rowOff>
    </xdr:to>
    <xdr:cxnSp macro="">
      <xdr:nvCxnSpPr>
        <xdr:cNvPr id="31" name="Connecteur droit 30">
          <a:extLst>
            <a:ext uri="{FF2B5EF4-FFF2-40B4-BE49-F238E27FC236}">
              <a16:creationId xmlns:a16="http://schemas.microsoft.com/office/drawing/2014/main" xmlns="" id="{46D2EE86-61C8-E458-EB65-AFD2160BED60}"/>
            </a:ext>
          </a:extLst>
        </xdr:cNvPr>
        <xdr:cNvCxnSpPr/>
      </xdr:nvCxnSpPr>
      <xdr:spPr>
        <a:xfrm flipH="1" flipV="1">
          <a:off x="6929581" y="19126392"/>
          <a:ext cx="2326987" cy="1343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133350</xdr:colOff>
      <xdr:row>4</xdr:row>
      <xdr:rowOff>47625</xdr:rowOff>
    </xdr:from>
    <xdr:to>
      <xdr:col>13</xdr:col>
      <xdr:colOff>323850</xdr:colOff>
      <xdr:row>23</xdr:row>
      <xdr:rowOff>57150</xdr:rowOff>
    </xdr:to>
    <xdr:graphicFrame macro="">
      <xdr:nvGraphicFramePr>
        <xdr:cNvPr id="2" name="Graphique 1">
          <a:extLst>
            <a:ext uri="{FF2B5EF4-FFF2-40B4-BE49-F238E27FC236}">
              <a16:creationId xmlns:a16="http://schemas.microsoft.com/office/drawing/2014/main" xmlns="" id="{610E5110-EB88-4895-9B66-6DF0AD9D7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752475</xdr:colOff>
      <xdr:row>35</xdr:row>
      <xdr:rowOff>47625</xdr:rowOff>
    </xdr:from>
    <xdr:to>
      <xdr:col>16</xdr:col>
      <xdr:colOff>381000</xdr:colOff>
      <xdr:row>51</xdr:row>
      <xdr:rowOff>47625</xdr:rowOff>
    </xdr:to>
    <xdr:graphicFrame macro="">
      <xdr:nvGraphicFramePr>
        <xdr:cNvPr id="6172" name="Graphique 1">
          <a:extLst>
            <a:ext uri="{FF2B5EF4-FFF2-40B4-BE49-F238E27FC236}">
              <a16:creationId xmlns:a16="http://schemas.microsoft.com/office/drawing/2014/main" xmlns="" id="{B0DC6877-D2C6-437E-5C7A-8507E7988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723900</xdr:colOff>
      <xdr:row>35</xdr:row>
      <xdr:rowOff>9525</xdr:rowOff>
    </xdr:from>
    <xdr:to>
      <xdr:col>23</xdr:col>
      <xdr:colOff>676275</xdr:colOff>
      <xdr:row>51</xdr:row>
      <xdr:rowOff>57150</xdr:rowOff>
    </xdr:to>
    <xdr:graphicFrame macro="">
      <xdr:nvGraphicFramePr>
        <xdr:cNvPr id="6173" name="Graphique 2">
          <a:extLst>
            <a:ext uri="{FF2B5EF4-FFF2-40B4-BE49-F238E27FC236}">
              <a16:creationId xmlns:a16="http://schemas.microsoft.com/office/drawing/2014/main" xmlns="" id="{D070C0A8-296E-D4F1-F83B-B14951A65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142875</xdr:colOff>
      <xdr:row>35</xdr:row>
      <xdr:rowOff>38100</xdr:rowOff>
    </xdr:from>
    <xdr:to>
      <xdr:col>8</xdr:col>
      <xdr:colOff>571500</xdr:colOff>
      <xdr:row>50</xdr:row>
      <xdr:rowOff>190500</xdr:rowOff>
    </xdr:to>
    <xdr:graphicFrame macro="">
      <xdr:nvGraphicFramePr>
        <xdr:cNvPr id="6174" name="Graphique 3">
          <a:extLst>
            <a:ext uri="{FF2B5EF4-FFF2-40B4-BE49-F238E27FC236}">
              <a16:creationId xmlns:a16="http://schemas.microsoft.com/office/drawing/2014/main" xmlns="" id="{B08B4BE9-64D2-FA19-A294-4B8DF359D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276225</xdr:colOff>
      <xdr:row>21</xdr:row>
      <xdr:rowOff>66675</xdr:rowOff>
    </xdr:from>
    <xdr:to>
      <xdr:col>16</xdr:col>
      <xdr:colOff>466725</xdr:colOff>
      <xdr:row>40</xdr:row>
      <xdr:rowOff>142875</xdr:rowOff>
    </xdr:to>
    <xdr:graphicFrame macro="">
      <xdr:nvGraphicFramePr>
        <xdr:cNvPr id="7178" name="Graphique 1">
          <a:extLst>
            <a:ext uri="{FF2B5EF4-FFF2-40B4-BE49-F238E27FC236}">
              <a16:creationId xmlns:a16="http://schemas.microsoft.com/office/drawing/2014/main" xmlns="" id="{D03F1BAF-4B0A-B90D-FB8A-E2019BDCD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161925</xdr:colOff>
      <xdr:row>25</xdr:row>
      <xdr:rowOff>47625</xdr:rowOff>
    </xdr:from>
    <xdr:to>
      <xdr:col>11</xdr:col>
      <xdr:colOff>209550</xdr:colOff>
      <xdr:row>56</xdr:row>
      <xdr:rowOff>152400</xdr:rowOff>
    </xdr:to>
    <xdr:graphicFrame macro="">
      <xdr:nvGraphicFramePr>
        <xdr:cNvPr id="8202" name="Chart 1">
          <a:extLst>
            <a:ext uri="{FF2B5EF4-FFF2-40B4-BE49-F238E27FC236}">
              <a16:creationId xmlns:a16="http://schemas.microsoft.com/office/drawing/2014/main" xmlns="" id="{31351666-1EC8-7191-1362-7770CEABA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oowa.org/wp-content/uploads/2022/05/Shallow-Buried-Trench-Best-Practices-FINAL-March2019.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53"/>
  <sheetViews>
    <sheetView tabSelected="1" zoomScale="70" zoomScaleNormal="70" workbookViewId="0">
      <selection activeCell="C31" sqref="C31"/>
    </sheetView>
  </sheetViews>
  <sheetFormatPr defaultColWidth="11.5703125" defaultRowHeight="12.75" x14ac:dyDescent="0.2"/>
  <cols>
    <col min="1" max="1" width="11.5703125" style="1"/>
    <col min="2" max="2" width="53.140625" style="1" customWidth="1"/>
    <col min="3" max="3" width="25.7109375" style="29" customWidth="1"/>
    <col min="4" max="4" width="17.85546875" style="1" customWidth="1"/>
    <col min="5" max="5" width="33.140625" style="1" customWidth="1"/>
    <col min="6" max="6" width="100.140625" style="1" customWidth="1"/>
    <col min="7" max="7" width="11.5703125" style="1"/>
    <col min="8" max="8" width="11.5703125" style="1" customWidth="1"/>
    <col min="9" max="16384" width="11.5703125" style="1"/>
  </cols>
  <sheetData>
    <row r="1" spans="1:12" ht="111" customHeight="1" x14ac:dyDescent="0.2"/>
    <row r="2" spans="1:12" ht="34.5" customHeight="1" x14ac:dyDescent="0.4">
      <c r="B2" s="14" t="s">
        <v>225</v>
      </c>
    </row>
    <row r="3" spans="1:12" ht="34.5" customHeight="1" x14ac:dyDescent="0.35">
      <c r="B3" s="2" t="s">
        <v>121</v>
      </c>
      <c r="C3" s="59" t="s">
        <v>317</v>
      </c>
      <c r="D3" s="13"/>
    </row>
    <row r="4" spans="1:12" ht="34.5" customHeight="1" x14ac:dyDescent="0.35">
      <c r="B4" s="2"/>
      <c r="C4" s="60"/>
      <c r="D4" s="13"/>
    </row>
    <row r="5" spans="1:12" ht="34.5" customHeight="1" x14ac:dyDescent="0.2">
      <c r="B5" s="22" t="s">
        <v>15</v>
      </c>
      <c r="C5" s="62"/>
      <c r="D5" s="63"/>
      <c r="E5" s="64"/>
    </row>
    <row r="6" spans="1:12" ht="34.5" customHeight="1" x14ac:dyDescent="0.4">
      <c r="B6" s="22" t="s">
        <v>16</v>
      </c>
      <c r="C6" s="62"/>
      <c r="D6" s="63"/>
      <c r="E6" s="64"/>
      <c r="F6" s="36">
        <f ca="1">TODAY()</f>
        <v>45203</v>
      </c>
    </row>
    <row r="7" spans="1:12" ht="14.25" customHeight="1" x14ac:dyDescent="0.2"/>
    <row r="8" spans="1:12" ht="64.5" customHeight="1" x14ac:dyDescent="0.25">
      <c r="B8" s="4"/>
      <c r="C8" s="194" t="s">
        <v>20</v>
      </c>
      <c r="E8" s="194" t="s">
        <v>21</v>
      </c>
    </row>
    <row r="9" spans="1:12" ht="54" customHeight="1" x14ac:dyDescent="0.2">
      <c r="A9" s="11" t="s">
        <v>17</v>
      </c>
      <c r="B9" s="15" t="s">
        <v>18</v>
      </c>
      <c r="C9" s="195"/>
      <c r="D9" s="16" t="s">
        <v>19</v>
      </c>
      <c r="E9" s="195"/>
      <c r="F9" s="11" t="s">
        <v>22</v>
      </c>
    </row>
    <row r="10" spans="1:12" ht="54" customHeight="1" x14ac:dyDescent="0.2">
      <c r="A10" s="12">
        <v>1</v>
      </c>
      <c r="B10" s="23" t="s">
        <v>23</v>
      </c>
      <c r="C10" s="5"/>
      <c r="D10" s="6" t="s">
        <v>24</v>
      </c>
      <c r="E10" s="9" t="str">
        <f>IF(AND(C10&gt;0,C10&lt;125.00001),"OK",IF(C10="","Enter T-Time","Incorrect T-Time"))</f>
        <v>Enter T-Time</v>
      </c>
      <c r="F10" s="3" t="s">
        <v>25</v>
      </c>
    </row>
    <row r="11" spans="1:12" ht="55.5" customHeight="1" x14ac:dyDescent="0.2">
      <c r="A11" s="12">
        <v>2</v>
      </c>
      <c r="B11" s="23" t="s">
        <v>246</v>
      </c>
      <c r="C11" s="49"/>
      <c r="D11" s="6" t="s">
        <v>0</v>
      </c>
      <c r="E11" s="9" t="str">
        <f>IF(AND(C11&gt;0,C11&lt;10000.00001),"OK",IF(C11="","Enter Design Flow","Incorrect Design Flow"))</f>
        <v>Enter Design Flow</v>
      </c>
      <c r="F11" s="3" t="s">
        <v>237</v>
      </c>
    </row>
    <row r="12" spans="1:12" ht="48.75" customHeight="1" x14ac:dyDescent="0.2">
      <c r="A12" s="12">
        <v>3</v>
      </c>
      <c r="B12" s="24" t="s">
        <v>45</v>
      </c>
      <c r="C12" s="6">
        <v>0.6</v>
      </c>
      <c r="D12" s="6" t="s">
        <v>2</v>
      </c>
      <c r="E12" s="10"/>
      <c r="F12" s="3" t="s">
        <v>272</v>
      </c>
      <c r="G12" s="156"/>
    </row>
    <row r="13" spans="1:12" ht="48.75" customHeight="1" x14ac:dyDescent="0.2">
      <c r="A13" s="12">
        <v>4</v>
      </c>
      <c r="B13" s="24" t="s">
        <v>273</v>
      </c>
      <c r="C13" s="49"/>
      <c r="D13" s="6" t="s">
        <v>2</v>
      </c>
      <c r="E13" s="9" t="str">
        <f>IF(OR(C13,C33)&gt;C12,"OK")</f>
        <v>OK</v>
      </c>
      <c r="F13" s="3"/>
      <c r="G13" s="156"/>
    </row>
    <row r="14" spans="1:12" ht="48.75" customHeight="1" x14ac:dyDescent="0.35">
      <c r="A14" s="12">
        <v>5</v>
      </c>
      <c r="B14" s="24" t="s">
        <v>131</v>
      </c>
      <c r="C14" s="7">
        <f>Feuil1!G6</f>
        <v>30</v>
      </c>
      <c r="D14" s="6" t="s">
        <v>2</v>
      </c>
      <c r="E14" s="10"/>
      <c r="F14" s="3" t="str">
        <f>IF(C14&gt;=30,VLOOKUP(TRUE,Feuil1!F2:H4,3,FALSE),"Error length is not enough")</f>
        <v>Minimum system length = Q/75</v>
      </c>
      <c r="G14" s="140"/>
      <c r="L14" s="43"/>
    </row>
    <row r="15" spans="1:12" ht="55.5" customHeight="1" x14ac:dyDescent="0.25">
      <c r="A15" s="12">
        <v>6</v>
      </c>
      <c r="B15" s="24" t="s">
        <v>26</v>
      </c>
      <c r="C15" s="31">
        <f>MAX(Feuil1!C9:C10)</f>
        <v>9.8360655737704921</v>
      </c>
      <c r="D15" s="6" t="s">
        <v>1</v>
      </c>
      <c r="E15" s="10"/>
      <c r="F15" s="3" t="s">
        <v>264</v>
      </c>
      <c r="G15" s="141"/>
    </row>
    <row r="16" spans="1:12" ht="35.25" customHeight="1" x14ac:dyDescent="0.2">
      <c r="A16" s="12">
        <v>7</v>
      </c>
      <c r="B16" s="23" t="s">
        <v>130</v>
      </c>
      <c r="C16" s="5"/>
      <c r="D16" s="6" t="s">
        <v>139</v>
      </c>
      <c r="E16" s="9" t="str">
        <f>IF(C16="","Enter Number of Rows",IF(C16&gt;0,"OK","Incorrect number of rows"))</f>
        <v>Enter Number of Rows</v>
      </c>
      <c r="F16" s="3" t="s">
        <v>35</v>
      </c>
    </row>
    <row r="17" spans="1:8" ht="37.5" customHeight="1" x14ac:dyDescent="0.35">
      <c r="A17" s="12">
        <v>8</v>
      </c>
      <c r="B17" s="23" t="s">
        <v>132</v>
      </c>
      <c r="C17" s="5"/>
      <c r="D17" s="6" t="s">
        <v>1</v>
      </c>
      <c r="E17" s="9" t="str">
        <f>IF(C17="","Enter Number of Pipe per Row",IF(OR(C17&gt;10,C17&lt;1),"Incorrect number of pipe per row","OK"))</f>
        <v>Enter Number of Pipe per Row</v>
      </c>
      <c r="F17" s="3" t="s">
        <v>236</v>
      </c>
      <c r="H17" s="140"/>
    </row>
    <row r="18" spans="1:8" ht="37.5" customHeight="1" x14ac:dyDescent="0.35">
      <c r="A18" s="12">
        <v>9</v>
      </c>
      <c r="B18" s="23" t="s">
        <v>267</v>
      </c>
      <c r="C18" s="5"/>
      <c r="D18" s="6"/>
      <c r="E18" s="9" t="str">
        <f>IF(C18="","Enter Number of Pipe per Row",IF(OR(C18&gt;10,C18&lt;1),"Incorrect number of pipe per row","OK"))</f>
        <v>Enter Number of Pipe per Row</v>
      </c>
      <c r="F18" s="3"/>
      <c r="H18" s="140"/>
    </row>
    <row r="19" spans="1:8" ht="48.75" customHeight="1" x14ac:dyDescent="0.2">
      <c r="A19" s="12">
        <v>10</v>
      </c>
      <c r="B19" s="24" t="s">
        <v>29</v>
      </c>
      <c r="C19" s="6" t="str">
        <f>IF(OR(C16="",C17=""),"",C16*C17*C18)</f>
        <v/>
      </c>
      <c r="D19" s="6" t="s">
        <v>1</v>
      </c>
      <c r="E19" s="9" t="str">
        <f>IF(C19="","",IF(C19&lt;C15,"Insufficient number of pipes","OK"))</f>
        <v/>
      </c>
      <c r="F19" s="3" t="s">
        <v>96</v>
      </c>
    </row>
    <row r="20" spans="1:8" ht="35.25" customHeight="1" x14ac:dyDescent="0.35">
      <c r="A20" s="12">
        <v>11</v>
      </c>
      <c r="B20" s="24" t="s">
        <v>30</v>
      </c>
      <c r="C20" s="6" t="str">
        <f>IF(C19="","",C19*3.05)</f>
        <v/>
      </c>
      <c r="D20" s="6" t="s">
        <v>2</v>
      </c>
      <c r="E20" s="9" t="str">
        <f>IF(C20&lt;C14,"Error length is not enough","OK")</f>
        <v>OK</v>
      </c>
      <c r="F20" s="3" t="s">
        <v>46</v>
      </c>
      <c r="G20" s="66"/>
      <c r="H20" s="139"/>
    </row>
    <row r="21" spans="1:8" ht="35.25" customHeight="1" x14ac:dyDescent="0.35">
      <c r="A21" s="12">
        <v>12</v>
      </c>
      <c r="B21" s="24" t="s">
        <v>133</v>
      </c>
      <c r="C21" s="7">
        <f>C17*3.05</f>
        <v>0</v>
      </c>
      <c r="D21" s="6" t="s">
        <v>2</v>
      </c>
      <c r="E21" s="10"/>
      <c r="F21" s="3" t="s">
        <v>62</v>
      </c>
      <c r="G21" s="66"/>
    </row>
    <row r="22" spans="1:8" ht="39.6" customHeight="1" x14ac:dyDescent="0.25">
      <c r="A22" s="12">
        <v>13</v>
      </c>
      <c r="B22" s="23" t="s">
        <v>27</v>
      </c>
      <c r="C22" s="7">
        <v>2</v>
      </c>
      <c r="D22" s="6" t="s">
        <v>2</v>
      </c>
      <c r="E22" s="10"/>
      <c r="F22" s="3" t="s">
        <v>238</v>
      </c>
      <c r="G22" s="26"/>
    </row>
    <row r="23" spans="1:8" ht="35.25" customHeight="1" x14ac:dyDescent="0.2">
      <c r="A23" s="12">
        <v>14</v>
      </c>
      <c r="B23" s="23" t="s">
        <v>127</v>
      </c>
      <c r="C23" s="7">
        <v>0.3</v>
      </c>
      <c r="D23" s="7" t="s">
        <v>2</v>
      </c>
      <c r="E23" s="10"/>
      <c r="F23" s="3" t="s">
        <v>239</v>
      </c>
    </row>
    <row r="24" spans="1:8" ht="39" customHeight="1" x14ac:dyDescent="0.2">
      <c r="A24" s="12">
        <v>15</v>
      </c>
      <c r="B24" s="23" t="s">
        <v>28</v>
      </c>
      <c r="C24" s="7">
        <v>0.3</v>
      </c>
      <c r="D24" s="7" t="s">
        <v>2</v>
      </c>
      <c r="E24" s="10"/>
      <c r="F24" s="3" t="s">
        <v>129</v>
      </c>
    </row>
    <row r="25" spans="1:8" ht="35.25" customHeight="1" x14ac:dyDescent="0.25">
      <c r="A25" s="12">
        <v>16</v>
      </c>
      <c r="B25" s="24" t="s">
        <v>244</v>
      </c>
      <c r="C25" s="7">
        <f>(C24*2)+(C17*3.05)</f>
        <v>0.6</v>
      </c>
      <c r="D25" s="7" t="s">
        <v>2</v>
      </c>
      <c r="E25" s="10"/>
      <c r="F25" s="3" t="s">
        <v>128</v>
      </c>
      <c r="H25" s="26"/>
    </row>
    <row r="26" spans="1:8" ht="37.5" customHeight="1" x14ac:dyDescent="0.2">
      <c r="A26" s="12">
        <v>17</v>
      </c>
      <c r="B26" s="24" t="s">
        <v>245</v>
      </c>
      <c r="C26" s="7">
        <f>C23*2</f>
        <v>0.6</v>
      </c>
      <c r="D26" s="7" t="s">
        <v>2</v>
      </c>
      <c r="E26" s="10"/>
      <c r="F26" s="3" t="str">
        <f>IF(C10&lt;=20,"This value represent the width of a trench. See cells below to have the total length, width and contact area of the system","This value represent the width of a trench.")</f>
        <v>This value represent the width of a trench. See cells below to have the total length, width and contact area of the system</v>
      </c>
      <c r="G26" s="21"/>
    </row>
    <row r="27" spans="1:8" ht="37.5" customHeight="1" x14ac:dyDescent="0.2">
      <c r="A27" s="12">
        <v>18</v>
      </c>
      <c r="B27" s="24" t="s">
        <v>134</v>
      </c>
      <c r="C27" s="7">
        <f>IF(OR(C25="",C26=""),"",C25*C26)</f>
        <v>0.36</v>
      </c>
      <c r="D27" s="6" t="s">
        <v>3</v>
      </c>
      <c r="E27" s="10"/>
      <c r="F27" s="3" t="s">
        <v>240</v>
      </c>
    </row>
    <row r="28" spans="1:8" ht="37.5" customHeight="1" x14ac:dyDescent="0.2">
      <c r="A28" s="12">
        <v>19</v>
      </c>
      <c r="B28" s="24" t="s">
        <v>137</v>
      </c>
      <c r="C28" s="7">
        <f>C25</f>
        <v>0.6</v>
      </c>
      <c r="D28" s="6" t="s">
        <v>2</v>
      </c>
      <c r="E28" s="10"/>
      <c r="F28" s="3" t="s">
        <v>141</v>
      </c>
    </row>
    <row r="29" spans="1:8" ht="37.5" customHeight="1" x14ac:dyDescent="0.2">
      <c r="A29" s="12">
        <v>20</v>
      </c>
      <c r="B29" s="24" t="s">
        <v>138</v>
      </c>
      <c r="C29" s="7">
        <f>((C16-1)*C22)+(C23*2)</f>
        <v>-1.4</v>
      </c>
      <c r="D29" s="6" t="s">
        <v>2</v>
      </c>
      <c r="E29" s="10"/>
      <c r="F29" s="3" t="s">
        <v>142</v>
      </c>
    </row>
    <row r="30" spans="1:8" ht="33" customHeight="1" x14ac:dyDescent="0.2">
      <c r="A30" s="12">
        <v>21</v>
      </c>
      <c r="B30" s="44" t="s">
        <v>243</v>
      </c>
      <c r="C30" s="7">
        <f>C28*C29</f>
        <v>-0.84</v>
      </c>
      <c r="D30" s="6" t="s">
        <v>3</v>
      </c>
      <c r="E30" s="10"/>
      <c r="F30" s="3" t="s">
        <v>241</v>
      </c>
    </row>
    <row r="31" spans="1:8" ht="33.75" customHeight="1" x14ac:dyDescent="0.2">
      <c r="A31" s="12">
        <v>22</v>
      </c>
      <c r="B31" s="24" t="s">
        <v>31</v>
      </c>
      <c r="C31" s="31" t="str">
        <f>IF(OR(C11="",C30=""),"",C11/C30)</f>
        <v/>
      </c>
      <c r="D31" s="7" t="s">
        <v>7</v>
      </c>
      <c r="E31" s="10"/>
      <c r="F31" s="3" t="s">
        <v>242</v>
      </c>
    </row>
    <row r="32" spans="1:8" ht="66" customHeight="1" x14ac:dyDescent="0.3">
      <c r="A32" s="12">
        <v>23</v>
      </c>
      <c r="B32" s="24" t="s">
        <v>33</v>
      </c>
      <c r="C32" s="8">
        <f>IF(C10&gt;20,((C25*C26*0.7)*C16)+(C16-1)*(0.3*C25*(C22-0.6)),((C25*C26*0.7)*C16))</f>
        <v>0</v>
      </c>
      <c r="D32" s="6" t="s">
        <v>4</v>
      </c>
      <c r="E32" s="10"/>
      <c r="F32" s="3" t="s">
        <v>266</v>
      </c>
      <c r="G32" s="13"/>
    </row>
    <row r="33" spans="1:6" ht="60.75" customHeight="1" x14ac:dyDescent="0.2">
      <c r="A33" s="12">
        <v>24</v>
      </c>
      <c r="B33" s="24" t="s">
        <v>34</v>
      </c>
      <c r="C33" s="8">
        <f>Feuil1!C21</f>
        <v>-1.9039999999999999</v>
      </c>
      <c r="D33" s="6" t="s">
        <v>4</v>
      </c>
      <c r="E33" s="10"/>
      <c r="F33" s="3" t="s">
        <v>140</v>
      </c>
    </row>
    <row r="34" spans="1:6" ht="38.25" customHeight="1" x14ac:dyDescent="0.2">
      <c r="A34" s="12">
        <v>25</v>
      </c>
      <c r="B34" s="193" t="s">
        <v>32</v>
      </c>
      <c r="C34" s="193"/>
      <c r="D34" s="193"/>
      <c r="E34" s="9" t="str">
        <f>IF(AND(E10="OK",E11="OK",E16="OK",E17="OK",E19="OK",E20="OK",E18="OK",E13="OK"),"OK","Check the configuration")</f>
        <v>Check the configuration</v>
      </c>
      <c r="F34" s="3" t="s">
        <v>265</v>
      </c>
    </row>
    <row r="35" spans="1:6" ht="38.25" customHeight="1" x14ac:dyDescent="0.2">
      <c r="A35" s="18"/>
      <c r="B35" s="19"/>
      <c r="C35" s="61"/>
      <c r="D35" s="19"/>
      <c r="E35" s="19"/>
      <c r="F35" s="20"/>
    </row>
    <row r="36" spans="1:6" ht="39" customHeight="1" x14ac:dyDescent="0.2">
      <c r="A36" s="18" t="s">
        <v>6</v>
      </c>
      <c r="B36" s="192" t="s">
        <v>60</v>
      </c>
      <c r="C36" s="192"/>
      <c r="D36" s="192"/>
      <c r="E36" s="192"/>
      <c r="F36" s="192"/>
    </row>
    <row r="41" spans="1:6" hidden="1" x14ac:dyDescent="0.2"/>
    <row r="42" spans="1:6" hidden="1" x14ac:dyDescent="0.2">
      <c r="B42" s="17" t="s">
        <v>41</v>
      </c>
    </row>
    <row r="43" spans="1:6" hidden="1" x14ac:dyDescent="0.2">
      <c r="B43" s="17" t="s">
        <v>42</v>
      </c>
      <c r="C43" s="29" t="e">
        <f>C16/#REF!</f>
        <v>#REF!</v>
      </c>
    </row>
    <row r="44" spans="1:6" hidden="1" x14ac:dyDescent="0.2">
      <c r="B44" s="17" t="s">
        <v>43</v>
      </c>
      <c r="C44" s="29" t="e">
        <f>ROUNDUP(C43,0)</f>
        <v>#REF!</v>
      </c>
    </row>
    <row r="45" spans="1:6" hidden="1" x14ac:dyDescent="0.2">
      <c r="B45" s="17" t="s">
        <v>44</v>
      </c>
      <c r="C45" s="29" t="e">
        <f>C43-C44</f>
        <v>#REF!</v>
      </c>
    </row>
    <row r="46" spans="1:6" hidden="1" x14ac:dyDescent="0.2">
      <c r="B46" s="17" t="s">
        <v>40</v>
      </c>
      <c r="C46" s="29" t="e">
        <f>IF(C43-C44=0,"OK","Unballanced number of row per section - Change number of sections")</f>
        <v>#REF!</v>
      </c>
    </row>
    <row r="47" spans="1:6" hidden="1" x14ac:dyDescent="0.2"/>
    <row r="53" ht="27.6" customHeight="1" x14ac:dyDescent="0.2"/>
  </sheetData>
  <sheetProtection sheet="1" objects="1" scenarios="1"/>
  <mergeCells count="4">
    <mergeCell ref="B36:F36"/>
    <mergeCell ref="B34:D34"/>
    <mergeCell ref="C8:C9"/>
    <mergeCell ref="E8:E9"/>
  </mergeCells>
  <phoneticPr fontId="2" type="noConversion"/>
  <printOptions horizontalCentered="1" verticalCentered="1"/>
  <pageMargins left="0.23622047244094491" right="0.23622047244094491" top="0.23622047244094491" bottom="0.55118110236220474" header="0.31496062992125984" footer="0.31496062992125984"/>
  <pageSetup scale="50" fitToHeight="2" orientation="landscape" r:id="rId1"/>
  <headerFooter alignWithMargins="0">
    <oddFooter>&amp;R&amp;14&amp;P/&amp;N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showGridLines="0" workbookViewId="0">
      <selection activeCell="E14" sqref="E14"/>
    </sheetView>
  </sheetViews>
  <sheetFormatPr defaultColWidth="11.5703125"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62" t="s">
        <v>280</v>
      </c>
      <c r="C1" s="162"/>
      <c r="D1" s="171"/>
      <c r="E1" s="171"/>
      <c r="F1" s="171"/>
    </row>
    <row r="2" spans="2:6" x14ac:dyDescent="0.2">
      <c r="B2" s="162" t="s">
        <v>296</v>
      </c>
      <c r="C2" s="162"/>
      <c r="D2" s="171"/>
      <c r="E2" s="171"/>
      <c r="F2" s="171"/>
    </row>
    <row r="3" spans="2:6" x14ac:dyDescent="0.2">
      <c r="B3" s="163"/>
      <c r="C3" s="163"/>
      <c r="D3" s="172"/>
      <c r="E3" s="172"/>
      <c r="F3" s="172"/>
    </row>
    <row r="4" spans="2:6" ht="38.25" x14ac:dyDescent="0.2">
      <c r="B4" s="163" t="s">
        <v>282</v>
      </c>
      <c r="C4" s="163"/>
      <c r="D4" s="172"/>
      <c r="E4" s="172"/>
      <c r="F4" s="172"/>
    </row>
    <row r="5" spans="2:6" x14ac:dyDescent="0.2">
      <c r="B5" s="163"/>
      <c r="C5" s="163"/>
      <c r="D5" s="172"/>
      <c r="E5" s="172"/>
      <c r="F5" s="172"/>
    </row>
    <row r="6" spans="2:6" ht="25.5" x14ac:dyDescent="0.2">
      <c r="B6" s="162" t="s">
        <v>283</v>
      </c>
      <c r="C6" s="162"/>
      <c r="D6" s="171"/>
      <c r="E6" s="171" t="s">
        <v>284</v>
      </c>
      <c r="F6" s="171" t="s">
        <v>285</v>
      </c>
    </row>
    <row r="7" spans="2:6" ht="13.5" thickBot="1" x14ac:dyDescent="0.25">
      <c r="B7" s="163"/>
      <c r="C7" s="163"/>
      <c r="D7" s="172"/>
      <c r="E7" s="172"/>
      <c r="F7" s="172"/>
    </row>
    <row r="8" spans="2:6" ht="63.75" x14ac:dyDescent="0.2">
      <c r="B8" s="164" t="s">
        <v>289</v>
      </c>
      <c r="C8" s="165"/>
      <c r="D8" s="173"/>
      <c r="E8" s="173">
        <v>2</v>
      </c>
      <c r="F8" s="174"/>
    </row>
    <row r="9" spans="2:6" ht="38.25" x14ac:dyDescent="0.2">
      <c r="B9" s="168"/>
      <c r="C9" s="163"/>
      <c r="D9" s="172"/>
      <c r="E9" s="178" t="s">
        <v>290</v>
      </c>
      <c r="F9" s="179" t="s">
        <v>288</v>
      </c>
    </row>
    <row r="10" spans="2:6" ht="13.5" thickBot="1" x14ac:dyDescent="0.25">
      <c r="B10" s="166"/>
      <c r="C10" s="167"/>
      <c r="D10" s="175"/>
      <c r="E10" s="175"/>
      <c r="F10" s="177" t="s">
        <v>288</v>
      </c>
    </row>
    <row r="11" spans="2:6" ht="13.5" thickBot="1" x14ac:dyDescent="0.25">
      <c r="B11" s="163"/>
      <c r="C11" s="163"/>
      <c r="D11" s="172"/>
      <c r="E11" s="172"/>
      <c r="F11" s="172"/>
    </row>
    <row r="12" spans="2:6" ht="26.25" thickBot="1" x14ac:dyDescent="0.25">
      <c r="B12" s="169" t="s">
        <v>291</v>
      </c>
      <c r="C12" s="170"/>
      <c r="D12" s="180"/>
      <c r="E12" s="180">
        <v>44</v>
      </c>
      <c r="F12" s="182" t="s">
        <v>288</v>
      </c>
    </row>
    <row r="13" spans="2:6" ht="38.25" x14ac:dyDescent="0.2">
      <c r="B13" s="163"/>
      <c r="C13" s="163"/>
      <c r="D13" s="172"/>
      <c r="E13" s="178" t="s">
        <v>297</v>
      </c>
      <c r="F13" s="172" t="s">
        <v>288</v>
      </c>
    </row>
    <row r="14" spans="2:6" ht="38.25" x14ac:dyDescent="0.2">
      <c r="B14" s="163"/>
      <c r="C14" s="163"/>
      <c r="D14" s="172"/>
      <c r="E14" s="178" t="s">
        <v>298</v>
      </c>
      <c r="F14" s="172"/>
    </row>
    <row r="15" spans="2:6" ht="38.25" x14ac:dyDescent="0.2">
      <c r="B15" s="162" t="s">
        <v>292</v>
      </c>
      <c r="C15" s="162"/>
      <c r="D15" s="171"/>
      <c r="E15" s="186" t="s">
        <v>299</v>
      </c>
      <c r="F15" s="171"/>
    </row>
    <row r="16" spans="2:6" ht="26.25" thickBot="1" x14ac:dyDescent="0.25">
      <c r="B16" s="163"/>
      <c r="C16" s="163"/>
      <c r="D16" s="172"/>
      <c r="E16" s="178" t="s">
        <v>300</v>
      </c>
      <c r="F16" s="172"/>
    </row>
    <row r="17" spans="2:6" ht="39" thickBot="1" x14ac:dyDescent="0.25">
      <c r="B17" s="169" t="s">
        <v>293</v>
      </c>
      <c r="C17" s="170"/>
      <c r="D17" s="180"/>
      <c r="E17" s="181">
        <v>24</v>
      </c>
      <c r="F17" s="182" t="s">
        <v>288</v>
      </c>
    </row>
    <row r="18" spans="2:6" ht="39" thickBot="1" x14ac:dyDescent="0.25">
      <c r="B18" s="163"/>
      <c r="C18" s="163"/>
      <c r="D18" s="172"/>
      <c r="E18" s="178" t="s">
        <v>301</v>
      </c>
      <c r="F18" s="172"/>
    </row>
    <row r="19" spans="2:6" ht="51" x14ac:dyDescent="0.2">
      <c r="B19" s="164" t="s">
        <v>294</v>
      </c>
      <c r="C19" s="165"/>
      <c r="D19" s="173"/>
      <c r="E19" s="187">
        <v>2</v>
      </c>
      <c r="F19" s="174"/>
    </row>
    <row r="20" spans="2:6" ht="26.25" thickBot="1" x14ac:dyDescent="0.25">
      <c r="B20" s="166"/>
      <c r="C20" s="167"/>
      <c r="D20" s="175"/>
      <c r="E20" s="176" t="s">
        <v>295</v>
      </c>
      <c r="F20" s="177" t="s">
        <v>288</v>
      </c>
    </row>
    <row r="21" spans="2:6" ht="26.25" thickBot="1" x14ac:dyDescent="0.25">
      <c r="B21" s="163"/>
      <c r="C21" s="163"/>
      <c r="D21" s="172"/>
      <c r="E21" s="178" t="s">
        <v>302</v>
      </c>
      <c r="F21" s="172" t="s">
        <v>288</v>
      </c>
    </row>
    <row r="22" spans="2:6" ht="38.25" x14ac:dyDescent="0.2">
      <c r="B22" s="164" t="s">
        <v>304</v>
      </c>
      <c r="C22" s="165"/>
      <c r="D22" s="173"/>
      <c r="E22" s="187">
        <v>1</v>
      </c>
      <c r="F22" s="174" t="s">
        <v>288</v>
      </c>
    </row>
    <row r="23" spans="2:6" ht="38.25" x14ac:dyDescent="0.2">
      <c r="B23" s="168"/>
      <c r="C23" s="163"/>
      <c r="D23" s="172"/>
      <c r="E23" s="178" t="s">
        <v>287</v>
      </c>
      <c r="F23" s="179" t="s">
        <v>305</v>
      </c>
    </row>
    <row r="24" spans="2:6" ht="38.25" x14ac:dyDescent="0.2">
      <c r="B24" s="168"/>
      <c r="C24" s="163"/>
      <c r="D24" s="172"/>
      <c r="E24" s="178" t="s">
        <v>303</v>
      </c>
      <c r="F24" s="179" t="s">
        <v>306</v>
      </c>
    </row>
    <row r="25" spans="2:6" ht="38.25" x14ac:dyDescent="0.2">
      <c r="B25" s="168"/>
      <c r="C25" s="163"/>
      <c r="D25" s="172"/>
      <c r="E25" s="178" t="s">
        <v>287</v>
      </c>
      <c r="F25" s="179" t="s">
        <v>307</v>
      </c>
    </row>
    <row r="26" spans="2:6" x14ac:dyDescent="0.2">
      <c r="B26" s="168"/>
      <c r="C26" s="163"/>
      <c r="D26" s="172"/>
      <c r="E26" s="172"/>
      <c r="F26" s="179" t="s">
        <v>308</v>
      </c>
    </row>
    <row r="27" spans="2:6" x14ac:dyDescent="0.2">
      <c r="B27" s="168"/>
      <c r="C27" s="163"/>
      <c r="D27" s="172"/>
      <c r="E27" s="172"/>
      <c r="F27" s="179" t="s">
        <v>309</v>
      </c>
    </row>
    <row r="28" spans="2:6" x14ac:dyDescent="0.2">
      <c r="B28" s="168"/>
      <c r="C28" s="163"/>
      <c r="D28" s="172"/>
      <c r="E28" s="172"/>
      <c r="F28" s="179" t="s">
        <v>310</v>
      </c>
    </row>
    <row r="29" spans="2:6" x14ac:dyDescent="0.2">
      <c r="B29" s="168"/>
      <c r="C29" s="163"/>
      <c r="D29" s="172"/>
      <c r="E29" s="172"/>
      <c r="F29" s="179"/>
    </row>
    <row r="30" spans="2:6" x14ac:dyDescent="0.2">
      <c r="B30" s="168"/>
      <c r="C30" s="163"/>
      <c r="D30" s="172"/>
      <c r="E30" s="172"/>
      <c r="F30" s="179"/>
    </row>
    <row r="31" spans="2:6" x14ac:dyDescent="0.2">
      <c r="B31" s="168"/>
      <c r="C31" s="163"/>
      <c r="D31" s="172"/>
      <c r="E31" s="172"/>
      <c r="F31" s="179"/>
    </row>
    <row r="32" spans="2:6" x14ac:dyDescent="0.2">
      <c r="B32" s="168"/>
      <c r="C32" s="163"/>
      <c r="D32" s="172"/>
      <c r="E32" s="172"/>
      <c r="F32" s="179"/>
    </row>
    <row r="33" spans="2:6" x14ac:dyDescent="0.2">
      <c r="B33" s="168"/>
      <c r="C33" s="163"/>
      <c r="D33" s="172"/>
      <c r="E33" s="172"/>
      <c r="F33" s="179"/>
    </row>
    <row r="34" spans="2:6" x14ac:dyDescent="0.2">
      <c r="B34" s="168"/>
      <c r="C34" s="163"/>
      <c r="D34" s="172"/>
      <c r="E34" s="172"/>
      <c r="F34" s="179"/>
    </row>
    <row r="35" spans="2:6" x14ac:dyDescent="0.2">
      <c r="B35" s="168"/>
      <c r="C35" s="163"/>
      <c r="D35" s="172"/>
      <c r="E35" s="172"/>
      <c r="F35" s="179"/>
    </row>
    <row r="36" spans="2:6" x14ac:dyDescent="0.2">
      <c r="B36" s="168"/>
      <c r="C36" s="163"/>
      <c r="D36" s="172"/>
      <c r="E36" s="172"/>
      <c r="F36" s="179"/>
    </row>
    <row r="37" spans="2:6" x14ac:dyDescent="0.2">
      <c r="B37" s="168"/>
      <c r="C37" s="163"/>
      <c r="D37" s="172"/>
      <c r="E37" s="172"/>
      <c r="F37" s="179"/>
    </row>
    <row r="38" spans="2:6" x14ac:dyDescent="0.2">
      <c r="B38" s="168"/>
      <c r="C38" s="163"/>
      <c r="D38" s="172"/>
      <c r="E38" s="172"/>
      <c r="F38" s="179"/>
    </row>
    <row r="39" spans="2:6" x14ac:dyDescent="0.2">
      <c r="B39" s="168"/>
      <c r="C39" s="163"/>
      <c r="D39" s="172"/>
      <c r="E39" s="172"/>
      <c r="F39" s="179"/>
    </row>
    <row r="40" spans="2:6" x14ac:dyDescent="0.2">
      <c r="B40" s="168"/>
      <c r="C40" s="163"/>
      <c r="D40" s="172"/>
      <c r="E40" s="172"/>
      <c r="F40" s="179"/>
    </row>
    <row r="41" spans="2:6" x14ac:dyDescent="0.2">
      <c r="B41" s="168"/>
      <c r="C41" s="163"/>
      <c r="D41" s="172"/>
      <c r="E41" s="172"/>
      <c r="F41" s="179"/>
    </row>
    <row r="42" spans="2:6" x14ac:dyDescent="0.2">
      <c r="B42" s="168"/>
      <c r="C42" s="163"/>
      <c r="D42" s="172"/>
      <c r="E42" s="172"/>
      <c r="F42" s="179"/>
    </row>
    <row r="43" spans="2:6" x14ac:dyDescent="0.2">
      <c r="B43" s="168"/>
      <c r="C43" s="163"/>
      <c r="D43" s="172"/>
      <c r="E43" s="172"/>
      <c r="F43" s="179"/>
    </row>
    <row r="44" spans="2:6" x14ac:dyDescent="0.2">
      <c r="B44" s="168"/>
      <c r="C44" s="163"/>
      <c r="D44" s="172"/>
      <c r="E44" s="172"/>
      <c r="F44" s="179"/>
    </row>
    <row r="45" spans="2:6" x14ac:dyDescent="0.2">
      <c r="B45" s="168"/>
      <c r="C45" s="163"/>
      <c r="D45" s="172"/>
      <c r="E45" s="172"/>
      <c r="F45" s="179"/>
    </row>
    <row r="46" spans="2:6" ht="13.5" thickBot="1" x14ac:dyDescent="0.25">
      <c r="B46" s="166"/>
      <c r="C46" s="167"/>
      <c r="D46" s="175"/>
      <c r="E46" s="175"/>
      <c r="F46" s="177"/>
    </row>
    <row r="47" spans="2:6" x14ac:dyDescent="0.2">
      <c r="B47" s="163"/>
      <c r="C47" s="163"/>
      <c r="D47" s="172"/>
      <c r="E47" s="172"/>
      <c r="F47" s="172"/>
    </row>
    <row r="48" spans="2:6" x14ac:dyDescent="0.2">
      <c r="B48" s="163"/>
      <c r="C48" s="163"/>
      <c r="D48" s="172"/>
      <c r="E48" s="172"/>
      <c r="F48" s="172"/>
    </row>
  </sheetData>
  <hyperlinks>
    <hyperlink ref="E9" location="'Pump calculator'!A1:G30" display="'Pump calculator'!A1:G30"/>
    <hyperlink ref="E13" location="'Summary - Leaching Bed'!F16:F29" display="'Summary - Leaching Bed'!F16:F29"/>
    <hyperlink ref="E14" location="'Summary - Leaching Bed'!O56" display="'Summary - Leaching Bed'!O56"/>
    <hyperlink ref="E15" location="'Summary - Leaching Bed'!O58" display="'Summary - Leaching Bed'!O58"/>
    <hyperlink ref="E16" location="'Summary - Leaching Bed'!I67" display="'Summary - Leaching Bed'!I67"/>
    <hyperlink ref="E17" location="'Summary - Leaching Bed'!O93" display="'Summary - Leaching Bed'!O93"/>
    <hyperlink ref="E18" location="'Summary - Leaching Bed'!O95" display="'Summary - Leaching Bed'!O95"/>
    <hyperlink ref="E19" location="'Summary - Leaching Bed'!J97" display="'Summary - Leaching Bed'!J97"/>
    <hyperlink ref="E20" location="'ESP Leaching Bed'!A1:L53" display="'ESP Leaching Bed'!A1:L53"/>
    <hyperlink ref="E21" location="'Pump calculator'!D4" display="'Pump calculator'!D4"/>
    <hyperlink ref="E22" location="'Pump calculator'!B10:B11" display="'Pump calculator'!B10:B11"/>
    <hyperlink ref="E23" location="'Pump calculator'!B17:B23" display="'Pump calculator'!B17:B23"/>
    <hyperlink ref="E24" location="'Pump calculator'!B26:B27" display="'Pump calculator'!B26:B27"/>
    <hyperlink ref="E25" location="'Pump calculator'!B17:B23" display="'Pump calculator'!B17:B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election activeCell="D22" sqref="D22"/>
    </sheetView>
  </sheetViews>
  <sheetFormatPr defaultColWidth="11.5703125" defaultRowHeight="12.75" x14ac:dyDescent="0.2"/>
  <cols>
    <col min="2" max="2" width="11.140625" customWidth="1"/>
    <col min="3" max="3" width="18.140625" customWidth="1"/>
  </cols>
  <sheetData>
    <row r="1" spans="2:8" x14ac:dyDescent="0.2">
      <c r="B1" s="57"/>
      <c r="C1" s="57" t="s">
        <v>122</v>
      </c>
      <c r="D1" s="57" t="s">
        <v>123</v>
      </c>
      <c r="E1" s="57" t="s">
        <v>259</v>
      </c>
      <c r="F1" s="57" t="s">
        <v>117</v>
      </c>
      <c r="G1" s="57" t="s">
        <v>118</v>
      </c>
      <c r="H1" s="57" t="s">
        <v>119</v>
      </c>
    </row>
    <row r="2" spans="2:8" x14ac:dyDescent="0.2">
      <c r="B2" s="57" t="s">
        <v>124</v>
      </c>
      <c r="C2" s="37">
        <f>'ESP Leaching Bed'!$C$11/75</f>
        <v>0</v>
      </c>
      <c r="D2" s="155">
        <f>(ROUNDUP('ESP Leaching Bed'!$C$11/126,0))*3.05</f>
        <v>0</v>
      </c>
      <c r="E2" s="65">
        <v>30</v>
      </c>
      <c r="F2" t="b">
        <f>IF('ESP Leaching Bed'!C10&lt;=20,TRUE,FALSE)</f>
        <v>1</v>
      </c>
      <c r="G2">
        <f>MAX(C2:E2)</f>
        <v>30</v>
      </c>
      <c r="H2" s="57" t="str">
        <f>IF(G2=D2,"Minimum system length = LAES","Minimum system length = Q/75")</f>
        <v>Minimum system length = Q/75</v>
      </c>
    </row>
    <row r="3" spans="2:8" x14ac:dyDescent="0.2">
      <c r="B3" s="57" t="s">
        <v>125</v>
      </c>
      <c r="C3" s="37">
        <f>'ESP Leaching Bed'!$C$11/50</f>
        <v>0</v>
      </c>
      <c r="D3" s="155">
        <f>(ROUNDUP('ESP Leaching Bed'!$C$11/126,0))*3.05</f>
        <v>0</v>
      </c>
      <c r="E3" s="65">
        <v>30</v>
      </c>
      <c r="F3" t="b">
        <f>IF(AND('ESP Leaching Bed'!C10&gt;20,'ESP Leaching Bed'!C10&lt;=50),TRUE,FALSE)</f>
        <v>0</v>
      </c>
      <c r="G3">
        <f>MAX(C3:E3)</f>
        <v>30</v>
      </c>
      <c r="H3" s="57" t="str">
        <f>IF(G3=D3,"Minimum system length = LAES","Minimum system length = Q/50")</f>
        <v>Minimum system length = Q/50</v>
      </c>
    </row>
    <row r="4" spans="2:8" x14ac:dyDescent="0.2">
      <c r="B4" s="57" t="s">
        <v>126</v>
      </c>
      <c r="C4" s="37">
        <f>'ESP Leaching Bed'!$C$11/30</f>
        <v>0</v>
      </c>
      <c r="D4" s="155">
        <f>(ROUNDUP('ESP Leaching Bed'!$C$11/126,0))*3.05</f>
        <v>0</v>
      </c>
      <c r="E4" s="65">
        <v>30</v>
      </c>
      <c r="F4" t="b">
        <f>IF(AND('ESP Leaching Bed'!C10&gt;50),TRUE,FALSE)</f>
        <v>0</v>
      </c>
      <c r="G4">
        <f>MAX(C4:E4)</f>
        <v>30</v>
      </c>
      <c r="H4" s="57" t="str">
        <f>IF(G4=D4,"Minimum system length = LAES","Minimum system length = Q/30")</f>
        <v>Minimum system length = Q/30</v>
      </c>
    </row>
    <row r="6" spans="2:8" x14ac:dyDescent="0.2">
      <c r="G6" s="46">
        <f>VLOOKUP(TRUE,F2:G4,2,FALSE)</f>
        <v>30</v>
      </c>
    </row>
    <row r="8" spans="2:8" x14ac:dyDescent="0.2">
      <c r="B8" s="196" t="s">
        <v>261</v>
      </c>
      <c r="C8" s="196"/>
    </row>
    <row r="9" spans="2:8" x14ac:dyDescent="0.2">
      <c r="B9" s="57" t="s">
        <v>262</v>
      </c>
      <c r="C9">
        <f>ROUNDUP('ESP Leaching Bed'!C11/126,0)</f>
        <v>0</v>
      </c>
    </row>
    <row r="10" spans="2:8" x14ac:dyDescent="0.2">
      <c r="B10" s="57" t="s">
        <v>263</v>
      </c>
      <c r="C10">
        <f>G6/3.05</f>
        <v>9.8360655737704921</v>
      </c>
    </row>
    <row r="12" spans="2:8" x14ac:dyDescent="0.2">
      <c r="G12" s="58"/>
    </row>
    <row r="13" spans="2:8" x14ac:dyDescent="0.2">
      <c r="D13" s="57"/>
      <c r="E13" s="57"/>
      <c r="F13" s="57"/>
    </row>
    <row r="16" spans="2:8" x14ac:dyDescent="0.2">
      <c r="B16" s="196" t="s">
        <v>120</v>
      </c>
      <c r="C16" s="197"/>
      <c r="D16" s="197"/>
    </row>
    <row r="17" spans="2:10" x14ac:dyDescent="0.2">
      <c r="C17" s="57" t="s">
        <v>314</v>
      </c>
      <c r="D17" s="57" t="s">
        <v>315</v>
      </c>
    </row>
    <row r="18" spans="2:10" x14ac:dyDescent="0.2">
      <c r="B18" s="57" t="s">
        <v>312</v>
      </c>
      <c r="C18">
        <f>IF('ESP Leaching Bed'!C10&lt;20,('ESP Leaching Bed'!C29-('ESP Leaching Bed'!C26*'ESP Leaching Bed'!C16)*0.3),0)</f>
        <v>-1.4</v>
      </c>
      <c r="D18">
        <f>IF(C18=0,0,0.3)</f>
        <v>0.3</v>
      </c>
    </row>
    <row r="19" spans="2:10" x14ac:dyDescent="0.2">
      <c r="B19" s="57" t="s">
        <v>313</v>
      </c>
      <c r="C19">
        <f>IF('ESP Leaching Bed'!C13=0,0.6*'ESP Leaching Bed'!C30,0)</f>
        <v>-0.504</v>
      </c>
      <c r="D19">
        <f>IF(C19=0,0,0.6)</f>
        <v>0.6</v>
      </c>
    </row>
    <row r="20" spans="2:10" x14ac:dyDescent="0.2">
      <c r="J20" s="57" t="s">
        <v>108</v>
      </c>
    </row>
    <row r="21" spans="2:10" x14ac:dyDescent="0.2">
      <c r="B21" s="57" t="s">
        <v>316</v>
      </c>
      <c r="C21">
        <f>SUM(C18:C19)</f>
        <v>-1.9039999999999999</v>
      </c>
      <c r="D21">
        <f>SUM(D18:D19)</f>
        <v>0.89999999999999991</v>
      </c>
    </row>
  </sheetData>
  <mergeCells count="2">
    <mergeCell ref="B8:C8"/>
    <mergeCell ref="B16:D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2:AA125"/>
  <sheetViews>
    <sheetView zoomScale="80" zoomScaleNormal="80" workbookViewId="0">
      <selection activeCell="B17" sqref="B17:E17"/>
    </sheetView>
  </sheetViews>
  <sheetFormatPr defaultColWidth="11.5703125" defaultRowHeight="12.75" x14ac:dyDescent="0.2"/>
  <cols>
    <col min="1" max="1" width="8.28515625" style="1" customWidth="1"/>
    <col min="2" max="2" width="13.7109375" style="1" customWidth="1"/>
    <col min="3" max="3" width="13.7109375" style="1" bestFit="1" customWidth="1"/>
    <col min="4" max="8" width="11.5703125" style="1"/>
    <col min="9" max="9" width="12.5703125" style="1" customWidth="1"/>
    <col min="10" max="10" width="9.42578125" style="1" customWidth="1"/>
    <col min="11" max="12" width="11.5703125" style="1"/>
    <col min="13" max="14" width="14" style="1" customWidth="1"/>
    <col min="15" max="15" width="14.7109375" style="1" customWidth="1"/>
    <col min="16" max="16384" width="11.5703125" style="1"/>
  </cols>
  <sheetData>
    <row r="12" spans="2:15" ht="18" x14ac:dyDescent="0.25">
      <c r="B12" s="201" t="s">
        <v>57</v>
      </c>
      <c r="C12" s="201"/>
      <c r="D12" s="209">
        <f>'ESP Leaching Bed'!C5</f>
        <v>0</v>
      </c>
      <c r="E12" s="209"/>
      <c r="F12" s="209"/>
      <c r="G12" s="209"/>
      <c r="H12" s="209"/>
      <c r="I12" s="209"/>
      <c r="J12" s="209"/>
      <c r="K12" s="209"/>
      <c r="L12" s="209"/>
      <c r="M12" s="209"/>
      <c r="N12" s="209"/>
      <c r="O12" s="209"/>
    </row>
    <row r="13" spans="2:15" ht="18" x14ac:dyDescent="0.25">
      <c r="B13" s="201" t="s">
        <v>59</v>
      </c>
      <c r="C13" s="201"/>
      <c r="D13" s="209">
        <f>'ESP Leaching Bed'!C6</f>
        <v>0</v>
      </c>
      <c r="E13" s="209"/>
      <c r="F13" s="209"/>
      <c r="G13" s="209"/>
      <c r="H13" s="209"/>
      <c r="I13" s="209"/>
      <c r="J13" s="209"/>
      <c r="K13" s="209"/>
      <c r="L13" s="201" t="s">
        <v>5</v>
      </c>
      <c r="M13" s="201"/>
      <c r="N13" s="210">
        <f ca="1">TODAY()</f>
        <v>45203</v>
      </c>
      <c r="O13" s="205"/>
    </row>
    <row r="14" spans="2:15" ht="18" x14ac:dyDescent="0.25">
      <c r="F14" s="26"/>
    </row>
    <row r="15" spans="2:15" ht="42.75" customHeight="1" x14ac:dyDescent="0.25">
      <c r="B15" s="201" t="s">
        <v>47</v>
      </c>
      <c r="C15" s="201"/>
      <c r="D15" s="201"/>
      <c r="E15" s="201"/>
      <c r="F15" s="205" t="s">
        <v>48</v>
      </c>
      <c r="G15" s="205"/>
      <c r="H15" s="205"/>
      <c r="I15" s="25" t="s">
        <v>19</v>
      </c>
      <c r="K15" s="211" t="s">
        <v>49</v>
      </c>
      <c r="L15" s="212"/>
      <c r="M15" s="212"/>
      <c r="N15" s="212"/>
      <c r="O15" s="213"/>
    </row>
    <row r="16" spans="2:15" ht="21" customHeight="1" x14ac:dyDescent="0.35">
      <c r="B16" s="208" t="s">
        <v>23</v>
      </c>
      <c r="C16" s="208"/>
      <c r="D16" s="208"/>
      <c r="E16" s="208"/>
      <c r="F16" s="205">
        <f>'ESP Leaching Bed'!C10</f>
        <v>0</v>
      </c>
      <c r="G16" s="205"/>
      <c r="H16" s="205"/>
      <c r="I16" s="25" t="s">
        <v>24</v>
      </c>
      <c r="K16" s="27" t="s">
        <v>54</v>
      </c>
      <c r="L16" s="202" t="s">
        <v>94</v>
      </c>
      <c r="M16" s="203"/>
      <c r="N16" s="203"/>
      <c r="O16" s="204"/>
    </row>
    <row r="17" spans="2:27" ht="21" customHeight="1" x14ac:dyDescent="0.35">
      <c r="B17" s="198" t="s">
        <v>247</v>
      </c>
      <c r="C17" s="199"/>
      <c r="D17" s="199"/>
      <c r="E17" s="200"/>
      <c r="F17" s="206">
        <f>'ESP Leaching Bed'!C11</f>
        <v>0</v>
      </c>
      <c r="G17" s="205"/>
      <c r="H17" s="205"/>
      <c r="I17" s="25" t="s">
        <v>0</v>
      </c>
      <c r="K17" s="27" t="s">
        <v>11</v>
      </c>
      <c r="L17" s="202" t="s">
        <v>37</v>
      </c>
      <c r="M17" s="203"/>
      <c r="N17" s="203"/>
      <c r="O17" s="204"/>
      <c r="T17" s="21"/>
      <c r="U17" s="69"/>
      <c r="V17" s="69"/>
      <c r="W17" s="69"/>
      <c r="X17" s="69"/>
    </row>
    <row r="18" spans="2:27" ht="21" customHeight="1" x14ac:dyDescent="0.35">
      <c r="B18" s="201" t="s">
        <v>135</v>
      </c>
      <c r="C18" s="201"/>
      <c r="D18" s="201"/>
      <c r="E18" s="201"/>
      <c r="F18" s="205">
        <f>'ESP Leaching Bed'!C16</f>
        <v>0</v>
      </c>
      <c r="G18" s="205"/>
      <c r="H18" s="205"/>
      <c r="I18" s="25" t="s">
        <v>136</v>
      </c>
      <c r="K18" s="27" t="s">
        <v>13</v>
      </c>
      <c r="L18" s="202" t="s">
        <v>39</v>
      </c>
      <c r="M18" s="203"/>
      <c r="N18" s="203"/>
      <c r="O18" s="204"/>
      <c r="T18" s="21"/>
      <c r="U18" s="69"/>
      <c r="V18" s="69"/>
      <c r="W18" s="69"/>
      <c r="X18" s="69"/>
    </row>
    <row r="19" spans="2:27" ht="21" customHeight="1" x14ac:dyDescent="0.35">
      <c r="B19" s="201" t="s">
        <v>132</v>
      </c>
      <c r="C19" s="201"/>
      <c r="D19" s="201"/>
      <c r="E19" s="201"/>
      <c r="F19" s="205">
        <f>'ESP Leaching Bed'!C17</f>
        <v>0</v>
      </c>
      <c r="G19" s="205"/>
      <c r="H19" s="205"/>
      <c r="I19" s="25" t="s">
        <v>1</v>
      </c>
      <c r="K19" s="27" t="s">
        <v>12</v>
      </c>
      <c r="L19" s="202" t="s">
        <v>38</v>
      </c>
      <c r="M19" s="203"/>
      <c r="N19" s="203"/>
      <c r="O19" s="204"/>
    </row>
    <row r="20" spans="2:27" ht="21" customHeight="1" x14ac:dyDescent="0.35">
      <c r="B20" s="201" t="s">
        <v>29</v>
      </c>
      <c r="C20" s="201"/>
      <c r="D20" s="201"/>
      <c r="E20" s="201"/>
      <c r="F20" s="205" t="str">
        <f>'ESP Leaching Bed'!C19</f>
        <v/>
      </c>
      <c r="G20" s="205"/>
      <c r="H20" s="205"/>
      <c r="I20" s="25" t="s">
        <v>1</v>
      </c>
      <c r="K20" s="27" t="s">
        <v>55</v>
      </c>
      <c r="L20" s="202" t="s">
        <v>56</v>
      </c>
      <c r="M20" s="203"/>
      <c r="N20" s="203"/>
      <c r="O20" s="204"/>
      <c r="T20" s="26"/>
      <c r="U20" s="26"/>
      <c r="V20" s="26"/>
      <c r="W20" s="26"/>
      <c r="X20" s="26"/>
      <c r="Y20" s="26"/>
      <c r="Z20" s="26"/>
      <c r="AA20" s="67"/>
    </row>
    <row r="21" spans="2:27" ht="21" customHeight="1" x14ac:dyDescent="0.25">
      <c r="B21" s="201" t="s">
        <v>143</v>
      </c>
      <c r="C21" s="201"/>
      <c r="D21" s="201"/>
      <c r="E21" s="201"/>
      <c r="F21" s="207">
        <f>'ESP Leaching Bed'!C25</f>
        <v>0.6</v>
      </c>
      <c r="G21" s="205"/>
      <c r="H21" s="205"/>
      <c r="I21" s="25" t="s">
        <v>2</v>
      </c>
      <c r="K21" s="27" t="s">
        <v>36</v>
      </c>
      <c r="L21" s="202" t="s">
        <v>248</v>
      </c>
      <c r="M21" s="203"/>
      <c r="N21" s="203"/>
      <c r="O21" s="204"/>
    </row>
    <row r="22" spans="2:27" ht="21" customHeight="1" x14ac:dyDescent="0.25">
      <c r="B22" s="226" t="s">
        <v>144</v>
      </c>
      <c r="C22" s="227"/>
      <c r="D22" s="227"/>
      <c r="E22" s="228"/>
      <c r="F22" s="229">
        <f>'ESP Leaching Bed'!C26</f>
        <v>0.6</v>
      </c>
      <c r="G22" s="230"/>
      <c r="H22" s="231"/>
      <c r="I22" s="25" t="s">
        <v>2</v>
      </c>
      <c r="K22" s="27" t="s">
        <v>148</v>
      </c>
      <c r="L22" s="202" t="s">
        <v>249</v>
      </c>
      <c r="M22" s="203"/>
      <c r="N22" s="203"/>
      <c r="O22" s="204"/>
    </row>
    <row r="23" spans="2:27" ht="21" customHeight="1" x14ac:dyDescent="0.25">
      <c r="B23" s="226" t="s">
        <v>145</v>
      </c>
      <c r="C23" s="227"/>
      <c r="D23" s="227"/>
      <c r="E23" s="228"/>
      <c r="F23" s="229">
        <f>'ESP Leaching Bed'!C27</f>
        <v>0.36</v>
      </c>
      <c r="G23" s="230"/>
      <c r="H23" s="231"/>
      <c r="I23" s="25" t="s">
        <v>8</v>
      </c>
      <c r="K23" s="27" t="s">
        <v>149</v>
      </c>
      <c r="L23" s="202" t="s">
        <v>146</v>
      </c>
      <c r="M23" s="203"/>
      <c r="N23" s="203"/>
      <c r="O23" s="204"/>
      <c r="T23" s="21"/>
      <c r="U23" s="69"/>
      <c r="V23" s="69"/>
      <c r="W23" s="69"/>
      <c r="X23" s="69"/>
    </row>
    <row r="24" spans="2:27" ht="21" customHeight="1" x14ac:dyDescent="0.25">
      <c r="B24" s="226" t="s">
        <v>146</v>
      </c>
      <c r="C24" s="227"/>
      <c r="D24" s="227"/>
      <c r="E24" s="228"/>
      <c r="F24" s="229">
        <f>'ESP Leaching Bed'!C28</f>
        <v>0.6</v>
      </c>
      <c r="G24" s="230"/>
      <c r="H24" s="231"/>
      <c r="I24" s="25" t="s">
        <v>2</v>
      </c>
      <c r="K24" s="27" t="s">
        <v>154</v>
      </c>
      <c r="L24" s="202" t="s">
        <v>147</v>
      </c>
      <c r="M24" s="203"/>
      <c r="N24" s="203"/>
      <c r="O24" s="204"/>
    </row>
    <row r="25" spans="2:27" ht="19.5" customHeight="1" x14ac:dyDescent="0.35">
      <c r="B25" s="226" t="s">
        <v>147</v>
      </c>
      <c r="C25" s="227"/>
      <c r="D25" s="227"/>
      <c r="E25" s="228"/>
      <c r="F25" s="229">
        <f>'ESP Leaching Bed'!C29</f>
        <v>-1.4</v>
      </c>
      <c r="G25" s="230"/>
      <c r="H25" s="231"/>
      <c r="I25" s="25" t="s">
        <v>2</v>
      </c>
      <c r="K25" s="27" t="s">
        <v>52</v>
      </c>
      <c r="L25" s="202" t="s">
        <v>53</v>
      </c>
      <c r="M25" s="203"/>
      <c r="N25" s="203"/>
      <c r="O25" s="204"/>
    </row>
    <row r="26" spans="2:27" ht="30" customHeight="1" x14ac:dyDescent="0.35">
      <c r="B26" s="226" t="s">
        <v>243</v>
      </c>
      <c r="C26" s="227"/>
      <c r="D26" s="227"/>
      <c r="E26" s="228"/>
      <c r="F26" s="232">
        <f>'ESP Leaching Bed'!C30</f>
        <v>-0.84</v>
      </c>
      <c r="G26" s="233"/>
      <c r="H26" s="234"/>
      <c r="I26" s="25" t="s">
        <v>8</v>
      </c>
      <c r="K26" s="27" t="s">
        <v>14</v>
      </c>
      <c r="L26" s="221" t="s">
        <v>58</v>
      </c>
      <c r="M26" s="222"/>
      <c r="N26" s="222"/>
      <c r="O26" s="223"/>
    </row>
    <row r="27" spans="2:27" ht="31.5" customHeight="1" x14ac:dyDescent="0.25">
      <c r="B27" s="226" t="s">
        <v>31</v>
      </c>
      <c r="C27" s="227"/>
      <c r="D27" s="227"/>
      <c r="E27" s="228"/>
      <c r="F27" s="232" t="str">
        <f>'ESP Leaching Bed'!C31</f>
        <v/>
      </c>
      <c r="G27" s="233"/>
      <c r="H27" s="234"/>
      <c r="I27" s="25" t="s">
        <v>9</v>
      </c>
    </row>
    <row r="28" spans="2:27" ht="49.5" customHeight="1" x14ac:dyDescent="0.25">
      <c r="B28" s="198" t="s">
        <v>50</v>
      </c>
      <c r="C28" s="199"/>
      <c r="D28" s="199"/>
      <c r="E28" s="200"/>
      <c r="F28" s="232">
        <f>'ESP Leaching Bed'!C32</f>
        <v>0</v>
      </c>
      <c r="G28" s="233"/>
      <c r="H28" s="234"/>
      <c r="I28" s="25" t="s">
        <v>10</v>
      </c>
    </row>
    <row r="29" spans="2:27" ht="39.75" customHeight="1" x14ac:dyDescent="0.25">
      <c r="B29" s="208" t="s">
        <v>51</v>
      </c>
      <c r="C29" s="208"/>
      <c r="D29" s="208"/>
      <c r="E29" s="208"/>
      <c r="F29" s="224">
        <f>'ESP Leaching Bed'!C33</f>
        <v>-1.9039999999999999</v>
      </c>
      <c r="G29" s="224"/>
      <c r="H29" s="224"/>
      <c r="I29" s="25" t="s">
        <v>10</v>
      </c>
    </row>
    <row r="30" spans="2:27" ht="39.75" customHeight="1" x14ac:dyDescent="0.2"/>
    <row r="31" spans="2:27" ht="21" customHeight="1" x14ac:dyDescent="0.2"/>
    <row r="35" spans="1:16" ht="23.25" x14ac:dyDescent="0.35">
      <c r="C35" s="28" t="s">
        <v>153</v>
      </c>
    </row>
    <row r="37" spans="1:16" ht="15" x14ac:dyDescent="0.2">
      <c r="G37" s="21" t="s">
        <v>61</v>
      </c>
    </row>
    <row r="38" spans="1:16" ht="12.75" customHeight="1" x14ac:dyDescent="0.2">
      <c r="C38" s="245" t="s">
        <v>113</v>
      </c>
      <c r="D38" s="241" t="str">
        <f>'ESP Leaching Bed'!C24&amp;" m - "&amp;'ESP Leaching Bed'!C24*3.28&amp;" ft"</f>
        <v>0,3 m - 0,984 ft</v>
      </c>
      <c r="E38" s="242"/>
    </row>
    <row r="39" spans="1:16" ht="12.75" customHeight="1" x14ac:dyDescent="0.2">
      <c r="C39" s="246"/>
      <c r="D39" s="243"/>
      <c r="E39" s="244"/>
    </row>
    <row r="41" spans="1:16" ht="18" x14ac:dyDescent="0.25">
      <c r="N41" s="240"/>
      <c r="O41" s="240"/>
    </row>
    <row r="42" spans="1:16" ht="13.15" customHeight="1" x14ac:dyDescent="0.2">
      <c r="N42" s="33"/>
    </row>
    <row r="43" spans="1:16" ht="17.45" customHeight="1" x14ac:dyDescent="0.2">
      <c r="N43" s="33"/>
    </row>
    <row r="44" spans="1:16" ht="12.75" customHeight="1" x14ac:dyDescent="0.2">
      <c r="N44" s="33"/>
    </row>
    <row r="45" spans="1:16" ht="12.75" customHeight="1" x14ac:dyDescent="0.2">
      <c r="N45" s="33"/>
    </row>
    <row r="46" spans="1:16" x14ac:dyDescent="0.2">
      <c r="N46" s="33"/>
    </row>
    <row r="47" spans="1:16" x14ac:dyDescent="0.2">
      <c r="N47" s="33"/>
    </row>
    <row r="48" spans="1:16" ht="12.75" customHeight="1" x14ac:dyDescent="0.25">
      <c r="A48" s="219" t="s">
        <v>114</v>
      </c>
      <c r="B48" s="238" t="str">
        <f>'ESP Leaching Bed'!C22&amp;" m"</f>
        <v>2 m</v>
      </c>
      <c r="N48" s="225" t="s">
        <v>95</v>
      </c>
      <c r="O48" s="207" t="str">
        <f>'ESP Leaching Bed'!C26&amp;" m"</f>
        <v>0,6 m</v>
      </c>
      <c r="P48" s="56"/>
    </row>
    <row r="49" spans="1:19" ht="12.75" customHeight="1" x14ac:dyDescent="0.25">
      <c r="A49" s="235"/>
      <c r="B49" s="239"/>
      <c r="N49" s="225"/>
      <c r="O49" s="207"/>
      <c r="P49" s="56"/>
    </row>
    <row r="50" spans="1:19" ht="13.15" customHeight="1" x14ac:dyDescent="0.2">
      <c r="A50" s="235"/>
      <c r="B50" s="236" t="str">
        <f>ROUND('ESP Leaching Bed'!C22*3.28,1)&amp;" ft"</f>
        <v>6,6 ft</v>
      </c>
      <c r="N50" s="225"/>
      <c r="O50" s="205" t="str">
        <f>ROUND('ESP Leaching Bed'!C26*3.28,1)&amp;" ft"</f>
        <v>2 ft</v>
      </c>
    </row>
    <row r="51" spans="1:19" ht="13.15" customHeight="1" x14ac:dyDescent="0.2">
      <c r="A51" s="220"/>
      <c r="B51" s="237"/>
      <c r="N51" s="225"/>
      <c r="O51" s="205"/>
    </row>
    <row r="53" spans="1:19" ht="13.15" customHeight="1" x14ac:dyDescent="0.25">
      <c r="Q53" s="56"/>
    </row>
    <row r="54" spans="1:19" ht="12.75" customHeight="1" x14ac:dyDescent="0.25">
      <c r="P54" s="56"/>
      <c r="Q54" s="56"/>
    </row>
    <row r="55" spans="1:19" ht="12.75" customHeight="1" x14ac:dyDescent="0.2"/>
    <row r="56" spans="1:19" ht="12.75" customHeight="1" x14ac:dyDescent="0.2">
      <c r="N56" s="214" t="s">
        <v>158</v>
      </c>
      <c r="O56" s="217" t="str">
        <f>ROUND('ESP Leaching Bed'!C29,2)&amp;" m"</f>
        <v>-1.4 m</v>
      </c>
    </row>
    <row r="57" spans="1:19" ht="13.15" customHeight="1" x14ac:dyDescent="0.2">
      <c r="N57" s="215"/>
      <c r="O57" s="218"/>
    </row>
    <row r="58" spans="1:19" ht="13.15" customHeight="1" x14ac:dyDescent="0.2">
      <c r="N58" s="215"/>
      <c r="O58" s="219" t="str">
        <f>ROUND('ESP Leaching Bed'!C29*3.28,1)&amp;" ft"</f>
        <v>-4.6 ft</v>
      </c>
    </row>
    <row r="59" spans="1:19" ht="12.75" customHeight="1" x14ac:dyDescent="0.2">
      <c r="N59" s="216"/>
      <c r="O59" s="220"/>
    </row>
    <row r="60" spans="1:19" ht="12.75" customHeight="1" x14ac:dyDescent="0.25">
      <c r="A60" s="219" t="s">
        <v>152</v>
      </c>
      <c r="B60" s="236" t="str">
        <f>#N/A</f>
        <v>0,3 m</v>
      </c>
      <c r="C60" s="56"/>
      <c r="S60" s="43"/>
    </row>
    <row r="61" spans="1:19" ht="19.899999999999999" customHeight="1" x14ac:dyDescent="0.2">
      <c r="A61" s="235"/>
      <c r="B61" s="237"/>
    </row>
    <row r="62" spans="1:19" ht="12.75" customHeight="1" x14ac:dyDescent="0.2">
      <c r="A62" s="235"/>
      <c r="B62" s="238" t="str">
        <f>#N/A</f>
        <v>0,98 ft</v>
      </c>
    </row>
    <row r="63" spans="1:19" ht="18" x14ac:dyDescent="0.25">
      <c r="A63" s="220"/>
      <c r="B63" s="239"/>
      <c r="C63" s="56"/>
    </row>
    <row r="64" spans="1:19" ht="12.75" customHeight="1" x14ac:dyDescent="0.25">
      <c r="C64" s="56"/>
    </row>
    <row r="65" spans="3:16" ht="13.15" customHeight="1" x14ac:dyDescent="0.2"/>
    <row r="66" spans="3:16" ht="20.25" customHeight="1" x14ac:dyDescent="0.3">
      <c r="G66" s="29"/>
      <c r="H66" s="30"/>
    </row>
    <row r="67" spans="3:16" ht="8.25" customHeight="1" x14ac:dyDescent="0.2">
      <c r="G67" s="205" t="s">
        <v>150</v>
      </c>
      <c r="H67" s="205"/>
      <c r="I67" s="207" t="str">
        <f>ROUND('ESP Leaching Bed'!C25,2)&amp;" m - "&amp;ROUND('ESP Leaching Bed'!C25*3.28,2)&amp;" ft"</f>
        <v>0.6 m - 1.97 ft</v>
      </c>
      <c r="J67" s="207"/>
      <c r="K67" s="207"/>
    </row>
    <row r="68" spans="3:16" ht="24" customHeight="1" x14ac:dyDescent="0.2">
      <c r="G68" s="205"/>
      <c r="H68" s="205"/>
      <c r="I68" s="207"/>
      <c r="J68" s="207"/>
      <c r="K68" s="207"/>
    </row>
    <row r="69" spans="3:16" ht="33" customHeight="1" x14ac:dyDescent="0.2"/>
    <row r="70" spans="3:16" ht="23.25" x14ac:dyDescent="0.35">
      <c r="C70" s="28" t="s">
        <v>156</v>
      </c>
      <c r="L70" s="21"/>
    </row>
    <row r="71" spans="3:16" ht="14.25" customHeight="1" x14ac:dyDescent="0.35">
      <c r="C71" s="28"/>
      <c r="L71" s="21"/>
    </row>
    <row r="72" spans="3:16" ht="17.25" customHeight="1" x14ac:dyDescent="0.35">
      <c r="C72" s="28"/>
      <c r="G72" s="21" t="s">
        <v>61</v>
      </c>
      <c r="N72" s="34"/>
    </row>
    <row r="73" spans="3:16" ht="14.25" customHeight="1" x14ac:dyDescent="0.35">
      <c r="C73" s="28"/>
      <c r="E73" s="35"/>
      <c r="G73" s="21"/>
      <c r="L73" s="21"/>
    </row>
    <row r="74" spans="3:16" ht="14.25" customHeight="1" x14ac:dyDescent="0.35">
      <c r="C74" s="28"/>
      <c r="L74" s="21"/>
    </row>
    <row r="76" spans="3:16" ht="13.15" customHeight="1" x14ac:dyDescent="0.25">
      <c r="D76" s="245" t="s">
        <v>151</v>
      </c>
      <c r="E76" s="241" t="str">
        <f>'ESP Leaching Bed'!C23&amp;" m - "&amp;'ESP Leaching Bed'!C23*3.28&amp;" ft"</f>
        <v>0,3 m - 0,984 ft</v>
      </c>
      <c r="F76" s="242"/>
      <c r="H76" s="245" t="s">
        <v>114</v>
      </c>
      <c r="I76" s="241" t="str">
        <f>'ESP Leaching Bed'!C22&amp;" m - "&amp;'ESP Leaching Bed'!C22*3.28&amp;" ft"</f>
        <v>2 m - 6,56 ft</v>
      </c>
      <c r="J76" s="242"/>
      <c r="K76" s="26"/>
      <c r="L76" s="56"/>
      <c r="M76" s="56"/>
    </row>
    <row r="77" spans="3:16" ht="13.15" customHeight="1" x14ac:dyDescent="0.25">
      <c r="D77" s="246"/>
      <c r="E77" s="243"/>
      <c r="F77" s="244"/>
      <c r="H77" s="246"/>
      <c r="I77" s="243"/>
      <c r="J77" s="244"/>
      <c r="K77" s="26"/>
      <c r="L77" s="56"/>
      <c r="M77" s="56"/>
    </row>
    <row r="79" spans="3:16" ht="12.75" customHeight="1" x14ac:dyDescent="0.25">
      <c r="N79" s="68"/>
      <c r="O79" s="56"/>
      <c r="P79" s="56"/>
    </row>
    <row r="80" spans="3:16" ht="12.75" customHeight="1" x14ac:dyDescent="0.25">
      <c r="N80" s="68"/>
      <c r="O80" s="56"/>
      <c r="P80" s="56"/>
    </row>
    <row r="81" spans="1:15" ht="12.75" customHeight="1" x14ac:dyDescent="0.25">
      <c r="A81" s="255" t="s">
        <v>157</v>
      </c>
      <c r="B81" s="256"/>
      <c r="N81" s="68"/>
      <c r="O81" s="26"/>
    </row>
    <row r="82" spans="1:15" ht="12.75" customHeight="1" x14ac:dyDescent="0.25">
      <c r="A82" s="257"/>
      <c r="B82" s="258"/>
      <c r="N82" s="68"/>
      <c r="O82" s="26"/>
    </row>
    <row r="83" spans="1:15" ht="12.75" customHeight="1" x14ac:dyDescent="0.2">
      <c r="A83" s="257"/>
      <c r="B83" s="258"/>
    </row>
    <row r="84" spans="1:15" ht="13.15" customHeight="1" x14ac:dyDescent="0.2">
      <c r="A84" s="259"/>
      <c r="B84" s="260"/>
      <c r="N84" s="251" t="s">
        <v>274</v>
      </c>
      <c r="O84" s="252"/>
    </row>
    <row r="85" spans="1:15" ht="13.15" customHeight="1" x14ac:dyDescent="0.2">
      <c r="N85" s="253"/>
      <c r="O85" s="254"/>
    </row>
    <row r="86" spans="1:15" ht="12.75" customHeight="1" x14ac:dyDescent="0.2">
      <c r="A86" s="68"/>
      <c r="B86" s="68"/>
    </row>
    <row r="87" spans="1:15" ht="12.75" customHeight="1" x14ac:dyDescent="0.2">
      <c r="A87" s="68"/>
      <c r="B87" s="68"/>
      <c r="N87" s="225" t="s">
        <v>116</v>
      </c>
      <c r="O87" s="225" t="str">
        <f>Feuil1!D21&amp;" m"</f>
        <v>0.9 m</v>
      </c>
    </row>
    <row r="88" spans="1:15" ht="12.75" customHeight="1" x14ac:dyDescent="0.2">
      <c r="A88" s="68"/>
      <c r="B88" s="68"/>
      <c r="N88" s="225"/>
      <c r="O88" s="225"/>
    </row>
    <row r="89" spans="1:15" ht="12.75" customHeight="1" x14ac:dyDescent="0.2">
      <c r="A89" s="68"/>
      <c r="B89" s="68"/>
      <c r="N89" s="225"/>
      <c r="O89" s="247" t="str">
        <f>ROUND(Feuil1!D21*3.28,2)&amp;" ft"</f>
        <v>2.95 ft</v>
      </c>
    </row>
    <row r="90" spans="1:15" x14ac:dyDescent="0.2">
      <c r="N90" s="225"/>
      <c r="O90" s="225"/>
    </row>
    <row r="92" spans="1:15" ht="13.15" customHeight="1" x14ac:dyDescent="0.2"/>
    <row r="93" spans="1:15" ht="13.15" customHeight="1" x14ac:dyDescent="0.2">
      <c r="N93" s="225" t="s">
        <v>115</v>
      </c>
      <c r="O93" s="247" t="str">
        <f>'ESP Leaching Bed'!C13&amp;" m"</f>
        <v xml:space="preserve"> m</v>
      </c>
    </row>
    <row r="94" spans="1:15" x14ac:dyDescent="0.2">
      <c r="N94" s="225"/>
      <c r="O94" s="225"/>
    </row>
    <row r="95" spans="1:15" x14ac:dyDescent="0.2">
      <c r="N95" s="225"/>
      <c r="O95" s="225" t="str">
        <f>ROUNDUP('ESP Leaching Bed'!C13*3.28,2)&amp;" ft"</f>
        <v>0 ft</v>
      </c>
    </row>
    <row r="96" spans="1:15" ht="19.899999999999999" customHeight="1" x14ac:dyDescent="0.2">
      <c r="N96" s="225"/>
      <c r="O96" s="225"/>
    </row>
    <row r="97" spans="1:17" ht="12.75" customHeight="1" x14ac:dyDescent="0.2">
      <c r="D97" s="225" t="s">
        <v>155</v>
      </c>
      <c r="E97" s="247" t="str">
        <f>'ESP Leaching Bed'!C23*2&amp;" m"</f>
        <v>0,6 m</v>
      </c>
      <c r="F97" s="247"/>
      <c r="I97" s="225" t="s">
        <v>159</v>
      </c>
      <c r="J97" s="247" t="str">
        <f>ROUND('ESP Leaching Bed'!C29,2)&amp;" m"</f>
        <v>-1.4 m</v>
      </c>
      <c r="K97" s="247"/>
    </row>
    <row r="98" spans="1:17" ht="16.899999999999999" customHeight="1" x14ac:dyDescent="0.25">
      <c r="D98" s="225"/>
      <c r="E98" s="247"/>
      <c r="F98" s="247"/>
      <c r="I98" s="225"/>
      <c r="J98" s="247"/>
      <c r="K98" s="247"/>
      <c r="M98" s="161" t="s">
        <v>275</v>
      </c>
      <c r="N98" s="249" t="str">
        <f>IF(O87=0,"System sand","Imported sand")</f>
        <v>Imported sand</v>
      </c>
      <c r="O98" s="250"/>
      <c r="P98" s="56"/>
    </row>
    <row r="99" spans="1:17" ht="13.15" customHeight="1" x14ac:dyDescent="0.25">
      <c r="D99" s="225"/>
      <c r="E99" s="225" t="str">
        <f>ROUND('ESP Leaching Bed'!C23*2*3.28,2)&amp;" ft"</f>
        <v>1,97 ft</v>
      </c>
      <c r="F99" s="225"/>
      <c r="I99" s="225"/>
      <c r="J99" s="225" t="str">
        <f>ROUND('ESP Leaching Bed'!C29*3.28,1)&amp;" ft"</f>
        <v>-4.6 ft</v>
      </c>
      <c r="K99" s="225"/>
      <c r="N99" s="68"/>
      <c r="O99" s="56"/>
      <c r="P99" s="56"/>
    </row>
    <row r="100" spans="1:17" ht="13.15" customHeight="1" x14ac:dyDescent="0.3">
      <c r="D100" s="225"/>
      <c r="E100" s="225"/>
      <c r="F100" s="225"/>
      <c r="I100" s="225"/>
      <c r="J100" s="225"/>
      <c r="K100" s="225"/>
      <c r="N100" s="68"/>
      <c r="O100" s="26"/>
      <c r="Q100" s="55"/>
    </row>
    <row r="101" spans="1:17" ht="13.15" customHeight="1" x14ac:dyDescent="0.3">
      <c r="N101" s="68"/>
      <c r="O101" s="26"/>
      <c r="Q101" s="55"/>
    </row>
    <row r="102" spans="1:17" ht="31.5" customHeight="1" x14ac:dyDescent="0.2">
      <c r="A102" s="32" t="s">
        <v>6</v>
      </c>
      <c r="B102" s="248" t="s">
        <v>311</v>
      </c>
      <c r="C102" s="248"/>
      <c r="D102" s="248"/>
      <c r="E102" s="248"/>
      <c r="F102" s="248"/>
      <c r="G102" s="248"/>
      <c r="H102" s="248"/>
      <c r="I102" s="248"/>
      <c r="J102" s="248"/>
      <c r="K102" s="248"/>
      <c r="L102" s="248"/>
      <c r="M102" s="248"/>
      <c r="N102" s="248"/>
      <c r="O102" s="248"/>
    </row>
    <row r="103" spans="1:17" ht="13.15" customHeight="1" x14ac:dyDescent="0.2"/>
    <row r="125" spans="1:15" x14ac:dyDescent="0.2">
      <c r="A125" s="18"/>
      <c r="B125" s="192"/>
      <c r="C125" s="192"/>
      <c r="D125" s="192"/>
      <c r="E125" s="192"/>
      <c r="F125" s="192"/>
      <c r="G125" s="192"/>
      <c r="H125" s="192"/>
      <c r="I125" s="192"/>
      <c r="J125" s="192"/>
      <c r="K125" s="192"/>
      <c r="L125" s="192"/>
      <c r="M125" s="192"/>
      <c r="N125" s="192"/>
      <c r="O125" s="192"/>
    </row>
  </sheetData>
  <sheetProtection sheet="1" objects="1" scenarios="1"/>
  <mergeCells count="86">
    <mergeCell ref="B125:O125"/>
    <mergeCell ref="O93:O94"/>
    <mergeCell ref="D76:D77"/>
    <mergeCell ref="H76:H77"/>
    <mergeCell ref="B102:O102"/>
    <mergeCell ref="N93:N96"/>
    <mergeCell ref="N87:N90"/>
    <mergeCell ref="N98:O98"/>
    <mergeCell ref="N84:O85"/>
    <mergeCell ref="O87:O88"/>
    <mergeCell ref="O89:O90"/>
    <mergeCell ref="O95:O96"/>
    <mergeCell ref="I97:I100"/>
    <mergeCell ref="J97:K98"/>
    <mergeCell ref="J99:K100"/>
    <mergeCell ref="A81:B84"/>
    <mergeCell ref="L16:O16"/>
    <mergeCell ref="L19:O19"/>
    <mergeCell ref="L18:O18"/>
    <mergeCell ref="L25:O25"/>
    <mergeCell ref="L17:O17"/>
    <mergeCell ref="L23:O23"/>
    <mergeCell ref="L24:O24"/>
    <mergeCell ref="L22:O22"/>
    <mergeCell ref="A60:A63"/>
    <mergeCell ref="B60:B61"/>
    <mergeCell ref="B62:B63"/>
    <mergeCell ref="D97:D100"/>
    <mergeCell ref="G67:H68"/>
    <mergeCell ref="I67:K68"/>
    <mergeCell ref="E76:F77"/>
    <mergeCell ref="I76:J77"/>
    <mergeCell ref="E97:F98"/>
    <mergeCell ref="E99:F100"/>
    <mergeCell ref="A48:A51"/>
    <mergeCell ref="B50:B51"/>
    <mergeCell ref="B48:B49"/>
    <mergeCell ref="N41:O41"/>
    <mergeCell ref="B27:E27"/>
    <mergeCell ref="D38:E39"/>
    <mergeCell ref="F27:H27"/>
    <mergeCell ref="B29:E29"/>
    <mergeCell ref="C38:C39"/>
    <mergeCell ref="B28:E28"/>
    <mergeCell ref="F28:H28"/>
    <mergeCell ref="B22:E22"/>
    <mergeCell ref="B23:E23"/>
    <mergeCell ref="B24:E24"/>
    <mergeCell ref="F22:H22"/>
    <mergeCell ref="F26:H26"/>
    <mergeCell ref="F23:H23"/>
    <mergeCell ref="F24:H24"/>
    <mergeCell ref="B25:E25"/>
    <mergeCell ref="F25:H25"/>
    <mergeCell ref="B26:E26"/>
    <mergeCell ref="N56:N59"/>
    <mergeCell ref="O56:O57"/>
    <mergeCell ref="O58:O59"/>
    <mergeCell ref="L26:O26"/>
    <mergeCell ref="F29:H29"/>
    <mergeCell ref="N48:N51"/>
    <mergeCell ref="O48:O49"/>
    <mergeCell ref="O50:O51"/>
    <mergeCell ref="L13:M13"/>
    <mergeCell ref="D12:O12"/>
    <mergeCell ref="D13:K13"/>
    <mergeCell ref="N13:O13"/>
    <mergeCell ref="B15:E15"/>
    <mergeCell ref="K15:O15"/>
    <mergeCell ref="B16:E16"/>
    <mergeCell ref="B12:C12"/>
    <mergeCell ref="B13:C13"/>
    <mergeCell ref="F15:H15"/>
    <mergeCell ref="F16:H16"/>
    <mergeCell ref="B17:E17"/>
    <mergeCell ref="B18:E18"/>
    <mergeCell ref="B19:E19"/>
    <mergeCell ref="L20:O20"/>
    <mergeCell ref="L21:O21"/>
    <mergeCell ref="B20:E20"/>
    <mergeCell ref="B21:E21"/>
    <mergeCell ref="F19:H19"/>
    <mergeCell ref="F17:H17"/>
    <mergeCell ref="F18:H18"/>
    <mergeCell ref="F20:H20"/>
    <mergeCell ref="F21:H21"/>
  </mergeCells>
  <phoneticPr fontId="20" type="noConversion"/>
  <printOptions horizontalCentered="1"/>
  <pageMargins left="0.23622047244094491" right="0.23622047244094491" top="0.74803149606299213" bottom="0.74803149606299213" header="0.31496062992125984" footer="0.31496062992125984"/>
  <pageSetup scale="74" fitToHeight="3" orientation="landscape" horizontalDpi="1200" verticalDpi="1200" r:id="rId1"/>
  <headerFooter alignWithMargins="0">
    <oddFooter>&amp;R&amp;14&amp;P/&amp;N</oddFooter>
  </headerFooter>
  <rowBreaks count="2" manualBreakCount="2">
    <brk id="34" max="14" man="1"/>
    <brk id="6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E2" sqref="E2:G2"/>
    </sheetView>
  </sheetViews>
  <sheetFormatPr defaultColWidth="11.42578125" defaultRowHeight="12.75" x14ac:dyDescent="0.2"/>
  <cols>
    <col min="1" max="4" width="11.42578125" style="50"/>
    <col min="5" max="5" width="19.140625" style="50" customWidth="1"/>
    <col min="6" max="6" width="11.42578125" style="50"/>
    <col min="7" max="7" width="17.140625" style="50" customWidth="1"/>
    <col min="8" max="16384" width="11.42578125" style="50"/>
  </cols>
  <sheetData>
    <row r="1" spans="1:7" ht="22.5" x14ac:dyDescent="0.35">
      <c r="A1" s="264" t="s">
        <v>110</v>
      </c>
      <c r="B1" s="264"/>
      <c r="C1" s="264"/>
      <c r="D1" s="264"/>
      <c r="E1" s="264"/>
      <c r="F1" s="264"/>
      <c r="G1" s="264"/>
    </row>
    <row r="2" spans="1:7" ht="17.25" x14ac:dyDescent="0.3">
      <c r="A2" s="265" t="s">
        <v>160</v>
      </c>
      <c r="B2" s="265"/>
      <c r="C2" s="265"/>
      <c r="D2" s="265"/>
      <c r="E2" s="266">
        <f>'ESP Leaching Bed'!C16</f>
        <v>0</v>
      </c>
      <c r="F2" s="266"/>
      <c r="G2" s="266"/>
    </row>
    <row r="3" spans="1:7" ht="17.25" x14ac:dyDescent="0.3">
      <c r="A3" s="265" t="s">
        <v>161</v>
      </c>
      <c r="B3" s="265"/>
      <c r="C3" s="265"/>
      <c r="D3" s="265"/>
      <c r="E3" s="266">
        <f>'ESP Leaching Bed'!C17</f>
        <v>0</v>
      </c>
      <c r="F3" s="266"/>
      <c r="G3" s="266"/>
    </row>
    <row r="4" spans="1:7" ht="17.25" x14ac:dyDescent="0.3">
      <c r="A4" s="265" t="s">
        <v>267</v>
      </c>
      <c r="B4" s="265"/>
      <c r="C4" s="265"/>
      <c r="D4" s="265"/>
      <c r="E4" s="266">
        <f>'ESP Leaching Bed'!C18</f>
        <v>0</v>
      </c>
      <c r="F4" s="266"/>
      <c r="G4" s="266"/>
    </row>
    <row r="5" spans="1:7" ht="17.25" x14ac:dyDescent="0.3">
      <c r="A5" s="51"/>
      <c r="B5" s="261"/>
      <c r="C5" s="261"/>
      <c r="D5" s="261"/>
      <c r="E5" s="261"/>
    </row>
    <row r="6" spans="1:7" ht="18" thickBot="1" x14ac:dyDescent="0.35">
      <c r="A6" s="267" t="s">
        <v>111</v>
      </c>
      <c r="B6" s="267"/>
      <c r="C6" s="267"/>
      <c r="D6" s="267"/>
      <c r="E6" s="267"/>
    </row>
    <row r="7" spans="1:7" x14ac:dyDescent="0.2">
      <c r="A7" s="268" t="s">
        <v>101</v>
      </c>
      <c r="B7" s="270" t="s">
        <v>102</v>
      </c>
      <c r="C7" s="270"/>
      <c r="D7" s="270"/>
      <c r="E7" s="271"/>
    </row>
    <row r="8" spans="1:7" ht="18" thickBot="1" x14ac:dyDescent="0.35">
      <c r="A8" s="269"/>
      <c r="B8" s="272"/>
      <c r="C8" s="272"/>
      <c r="D8" s="272"/>
      <c r="E8" s="273"/>
      <c r="F8" s="51"/>
      <c r="G8" s="51"/>
    </row>
    <row r="9" spans="1:7" ht="17.25" x14ac:dyDescent="0.3">
      <c r="A9" s="52"/>
      <c r="B9" s="53"/>
      <c r="C9" s="53"/>
      <c r="D9" s="53"/>
      <c r="E9" s="54"/>
      <c r="F9" s="51"/>
      <c r="G9" s="51"/>
    </row>
    <row r="10" spans="1:7" ht="17.25" x14ac:dyDescent="0.3">
      <c r="A10" s="70">
        <f>E2*E3*10</f>
        <v>0</v>
      </c>
      <c r="B10" s="262" t="s">
        <v>103</v>
      </c>
      <c r="C10" s="262"/>
      <c r="D10" s="262"/>
      <c r="E10" s="263"/>
      <c r="F10" s="51"/>
      <c r="G10" s="51"/>
    </row>
    <row r="11" spans="1:7" ht="17.25" x14ac:dyDescent="0.2">
      <c r="A11" s="52"/>
      <c r="B11" s="53"/>
      <c r="C11" s="53"/>
      <c r="D11" s="53"/>
      <c r="E11" s="54"/>
    </row>
    <row r="12" spans="1:7" ht="17.25" x14ac:dyDescent="0.2">
      <c r="A12" s="70">
        <f>(E2)*((ROUNDUP(E3,0))-1)</f>
        <v>0</v>
      </c>
      <c r="B12" s="262" t="s">
        <v>104</v>
      </c>
      <c r="C12" s="262"/>
      <c r="D12" s="262"/>
      <c r="E12" s="263"/>
    </row>
    <row r="13" spans="1:7" ht="17.25" x14ac:dyDescent="0.2">
      <c r="A13" s="52"/>
      <c r="B13" s="53"/>
      <c r="C13" s="53"/>
      <c r="D13" s="53"/>
      <c r="E13" s="54"/>
    </row>
    <row r="14" spans="1:7" ht="17.25" x14ac:dyDescent="0.2">
      <c r="A14" s="70">
        <f>E2</f>
        <v>0</v>
      </c>
      <c r="B14" s="262" t="s">
        <v>105</v>
      </c>
      <c r="C14" s="262"/>
      <c r="D14" s="262"/>
      <c r="E14" s="263"/>
    </row>
    <row r="15" spans="1:7" ht="17.25" x14ac:dyDescent="0.2">
      <c r="A15" s="52"/>
      <c r="B15" s="53"/>
      <c r="C15" s="53"/>
      <c r="D15" s="53"/>
      <c r="E15" s="54"/>
    </row>
    <row r="16" spans="1:7" ht="17.25" x14ac:dyDescent="0.2">
      <c r="A16" s="70">
        <f>E2</f>
        <v>0</v>
      </c>
      <c r="B16" s="262" t="s">
        <v>106</v>
      </c>
      <c r="C16" s="262"/>
      <c r="D16" s="262"/>
      <c r="E16" s="263"/>
    </row>
    <row r="17" spans="1:5" ht="17.25" x14ac:dyDescent="0.2">
      <c r="A17" s="52"/>
      <c r="B17" s="53"/>
      <c r="C17" s="53"/>
      <c r="D17" s="53"/>
      <c r="E17" s="54"/>
    </row>
    <row r="18" spans="1:5" ht="17.25" x14ac:dyDescent="0.2">
      <c r="A18" s="70">
        <f>E4</f>
        <v>0</v>
      </c>
      <c r="B18" s="262" t="s">
        <v>107</v>
      </c>
      <c r="C18" s="262"/>
      <c r="D18" s="262"/>
      <c r="E18" s="263"/>
    </row>
    <row r="19" spans="1:5" ht="17.25" x14ac:dyDescent="0.2">
      <c r="A19" s="52"/>
      <c r="B19" s="53"/>
      <c r="C19" s="53"/>
      <c r="D19" s="53"/>
      <c r="E19" s="54"/>
    </row>
    <row r="20" spans="1:5" ht="17.25" x14ac:dyDescent="0.2">
      <c r="A20" s="70">
        <f>A10</f>
        <v>0</v>
      </c>
      <c r="B20" s="262" t="s">
        <v>269</v>
      </c>
      <c r="C20" s="262"/>
      <c r="D20" s="262"/>
      <c r="E20" s="263"/>
    </row>
    <row r="21" spans="1:5" ht="17.25" x14ac:dyDescent="0.2">
      <c r="A21" s="52"/>
      <c r="B21" s="53"/>
      <c r="C21" s="53"/>
      <c r="D21" s="53"/>
      <c r="E21" s="54"/>
    </row>
    <row r="22" spans="1:5" ht="17.25" x14ac:dyDescent="0.2">
      <c r="A22" s="70">
        <f>ROUNDUP(2*(E2-1)*3.28,0)</f>
        <v>-7</v>
      </c>
      <c r="B22" s="262" t="s">
        <v>270</v>
      </c>
      <c r="C22" s="262"/>
      <c r="D22" s="262"/>
      <c r="E22" s="263"/>
    </row>
    <row r="23" spans="1:5" ht="17.25" x14ac:dyDescent="0.2">
      <c r="A23" s="52"/>
      <c r="B23" s="53"/>
      <c r="C23" s="53"/>
      <c r="D23" s="53"/>
      <c r="E23" s="54"/>
    </row>
    <row r="24" spans="1:5" ht="17.25" x14ac:dyDescent="0.2">
      <c r="A24" s="70">
        <f>E2</f>
        <v>0</v>
      </c>
      <c r="B24" s="262" t="s">
        <v>112</v>
      </c>
      <c r="C24" s="262"/>
      <c r="D24" s="262"/>
      <c r="E24" s="263"/>
    </row>
    <row r="25" spans="1:5" ht="17.25" x14ac:dyDescent="0.2">
      <c r="A25" s="52"/>
      <c r="B25" s="53"/>
      <c r="C25" s="53"/>
      <c r="D25" s="53"/>
      <c r="E25" s="54"/>
    </row>
    <row r="26" spans="1:5" ht="18" customHeight="1" x14ac:dyDescent="0.2">
      <c r="A26" s="71">
        <v>1</v>
      </c>
      <c r="B26" s="274" t="s">
        <v>268</v>
      </c>
      <c r="C26" s="274"/>
      <c r="D26" s="274"/>
      <c r="E26" s="275"/>
    </row>
  </sheetData>
  <sheetProtection sheet="1" objects="1" scenarios="1"/>
  <mergeCells count="20">
    <mergeCell ref="B20:E20"/>
    <mergeCell ref="B24:E24"/>
    <mergeCell ref="B26:E26"/>
    <mergeCell ref="B14:E14"/>
    <mergeCell ref="B16:E16"/>
    <mergeCell ref="B18:E18"/>
    <mergeCell ref="B22:E22"/>
    <mergeCell ref="B5:E5"/>
    <mergeCell ref="B12:E12"/>
    <mergeCell ref="A1:G1"/>
    <mergeCell ref="A2:D2"/>
    <mergeCell ref="E2:G2"/>
    <mergeCell ref="A3:D3"/>
    <mergeCell ref="E3:G3"/>
    <mergeCell ref="A6:E6"/>
    <mergeCell ref="A7:A8"/>
    <mergeCell ref="B7:E8"/>
    <mergeCell ref="B10:E10"/>
    <mergeCell ref="A4:D4"/>
    <mergeCell ref="E4: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D17" sqref="D17"/>
    </sheetView>
  </sheetViews>
  <sheetFormatPr defaultColWidth="11.42578125" defaultRowHeight="15" x14ac:dyDescent="0.25"/>
  <cols>
    <col min="1" max="1" width="23.28515625" style="72" customWidth="1"/>
    <col min="2" max="2" width="13.42578125" style="72" customWidth="1"/>
    <col min="3" max="3" width="12.5703125" style="72" customWidth="1"/>
    <col min="4" max="4" width="11.5703125" style="72" customWidth="1"/>
    <col min="5" max="16384" width="11.42578125" style="72"/>
  </cols>
  <sheetData>
    <row r="1" spans="1:6" ht="18.75" x14ac:dyDescent="0.3">
      <c r="A1" s="154" t="s">
        <v>231</v>
      </c>
    </row>
    <row r="2" spans="1:6" ht="15.75" thickBot="1" x14ac:dyDescent="0.3"/>
    <row r="3" spans="1:6" ht="16.5" thickBot="1" x14ac:dyDescent="0.3">
      <c r="A3" s="277" t="s">
        <v>162</v>
      </c>
      <c r="B3" s="278"/>
      <c r="C3" s="278"/>
      <c r="D3" s="278"/>
      <c r="E3" s="279"/>
      <c r="F3" s="137"/>
    </row>
    <row r="4" spans="1:6" x14ac:dyDescent="0.25">
      <c r="A4" s="285" t="s">
        <v>163</v>
      </c>
      <c r="B4" s="286"/>
      <c r="C4" s="286"/>
      <c r="D4" s="188" t="str">
        <f>'ESP Leaching Bed'!C19</f>
        <v/>
      </c>
      <c r="E4" s="189" t="s">
        <v>164</v>
      </c>
    </row>
    <row r="5" spans="1:6" x14ac:dyDescent="0.25">
      <c r="A5" s="287" t="s">
        <v>165</v>
      </c>
      <c r="B5" s="288"/>
      <c r="C5" s="288"/>
      <c r="D5" s="190">
        <v>5</v>
      </c>
      <c r="E5" s="89" t="s">
        <v>2</v>
      </c>
    </row>
    <row r="6" spans="1:6" ht="15.75" thickBot="1" x14ac:dyDescent="0.3">
      <c r="A6" s="289" t="s">
        <v>166</v>
      </c>
      <c r="B6" s="290"/>
      <c r="C6" s="290"/>
      <c r="D6" s="191">
        <v>1</v>
      </c>
      <c r="E6" s="119" t="s">
        <v>2</v>
      </c>
    </row>
    <row r="8" spans="1:6" ht="15.75" thickBot="1" x14ac:dyDescent="0.3"/>
    <row r="9" spans="1:6" ht="15.75" thickBot="1" x14ac:dyDescent="0.3">
      <c r="A9" s="282" t="s">
        <v>167</v>
      </c>
      <c r="B9" s="283"/>
      <c r="C9" s="284"/>
    </row>
    <row r="10" spans="1:6" x14ac:dyDescent="0.25">
      <c r="A10" s="145" t="s">
        <v>168</v>
      </c>
      <c r="B10" s="143" t="e">
        <f>'head loss data'!D66</f>
        <v>#VALUE!</v>
      </c>
      <c r="C10" s="144" t="s">
        <v>2</v>
      </c>
    </row>
    <row r="11" spans="1:6" x14ac:dyDescent="0.25">
      <c r="A11" s="146" t="s">
        <v>169</v>
      </c>
      <c r="B11" s="138" t="e">
        <f>'head loss data'!R54</f>
        <v>#VALUE!</v>
      </c>
      <c r="C11" s="89" t="s">
        <v>170</v>
      </c>
    </row>
    <row r="12" spans="1:6" x14ac:dyDescent="0.25">
      <c r="A12" s="147"/>
      <c r="B12" s="148"/>
      <c r="C12" s="93"/>
    </row>
    <row r="13" spans="1:6" x14ac:dyDescent="0.25">
      <c r="A13" s="146" t="s">
        <v>168</v>
      </c>
      <c r="B13" s="138" t="e">
        <f>B10*3.28</f>
        <v>#VALUE!</v>
      </c>
      <c r="C13" s="89" t="s">
        <v>171</v>
      </c>
    </row>
    <row r="14" spans="1:6" ht="15.75" thickBot="1" x14ac:dyDescent="0.3">
      <c r="A14" s="149" t="s">
        <v>169</v>
      </c>
      <c r="B14" s="150" t="e">
        <f>B11*0.264*60</f>
        <v>#VALUE!</v>
      </c>
      <c r="C14" s="119" t="s">
        <v>172</v>
      </c>
    </row>
    <row r="15" spans="1:6" ht="15.75" thickBot="1" x14ac:dyDescent="0.3"/>
    <row r="16" spans="1:6" ht="15.75" thickBot="1" x14ac:dyDescent="0.3">
      <c r="A16" s="280" t="s">
        <v>276</v>
      </c>
      <c r="B16" s="281"/>
    </row>
    <row r="17" spans="1:7" x14ac:dyDescent="0.25">
      <c r="A17" s="183" t="s">
        <v>220</v>
      </c>
      <c r="B17" s="184" t="e">
        <f>IF($B$13&lt;'pump curves'!J19,"YES","NO")</f>
        <v>#VALUE!</v>
      </c>
    </row>
    <row r="18" spans="1:7" x14ac:dyDescent="0.25">
      <c r="A18" s="87" t="s">
        <v>217</v>
      </c>
      <c r="B18" s="153" t="e">
        <f>IF($B$13&lt;'pump curves'!B19,"YES","NO")</f>
        <v>#VALUE!</v>
      </c>
    </row>
    <row r="19" spans="1:7" x14ac:dyDescent="0.25">
      <c r="A19" s="87" t="s">
        <v>221</v>
      </c>
      <c r="B19" s="153" t="e">
        <f>IF($B$13&lt;'pump curves'!M19,"YES","NO")</f>
        <v>#VALUE!</v>
      </c>
    </row>
    <row r="20" spans="1:7" x14ac:dyDescent="0.25">
      <c r="A20" s="87" t="s">
        <v>218</v>
      </c>
      <c r="B20" s="153" t="e">
        <f>IF($B$13&lt;'pump curves'!D19,"YES","NO")</f>
        <v>#VALUE!</v>
      </c>
    </row>
    <row r="21" spans="1:7" x14ac:dyDescent="0.25">
      <c r="A21" s="87" t="s">
        <v>219</v>
      </c>
      <c r="B21" s="153" t="e">
        <f>IF($B$13&lt;'pump curves'!G19,"YES","NO")</f>
        <v>#VALUE!</v>
      </c>
    </row>
    <row r="22" spans="1:7" x14ac:dyDescent="0.25">
      <c r="A22" s="87" t="s">
        <v>222</v>
      </c>
      <c r="B22" s="153" t="e">
        <f>IF($B$13&lt;'pump curves'!P19,"YES","NO")</f>
        <v>#VALUE!</v>
      </c>
    </row>
    <row r="23" spans="1:7" ht="15.75" thickBot="1" x14ac:dyDescent="0.3">
      <c r="A23" s="117" t="s">
        <v>257</v>
      </c>
      <c r="B23" s="185" t="e">
        <f>IF($B$13&lt;'pump curves'!S19,"YES","NO")</f>
        <v>#VALUE!</v>
      </c>
    </row>
    <row r="24" spans="1:7" x14ac:dyDescent="0.25">
      <c r="A24" s="72" t="s">
        <v>271</v>
      </c>
    </row>
    <row r="25" spans="1:7" ht="15.75" x14ac:dyDescent="0.25">
      <c r="A25" s="276" t="s">
        <v>260</v>
      </c>
      <c r="B25" s="276"/>
      <c r="C25" s="276"/>
      <c r="D25" s="137"/>
      <c r="E25" s="137"/>
      <c r="F25" s="137"/>
    </row>
    <row r="26" spans="1:7" ht="30" x14ac:dyDescent="0.25">
      <c r="A26" s="158" t="s">
        <v>277</v>
      </c>
      <c r="B26" s="159">
        <f>'head loss data'!C80</f>
        <v>0</v>
      </c>
      <c r="C26" s="160" t="s">
        <v>36</v>
      </c>
    </row>
    <row r="27" spans="1:7" x14ac:dyDescent="0.25">
      <c r="A27" s="88" t="s">
        <v>258</v>
      </c>
      <c r="B27" s="159">
        <f>'head loss data'!C74</f>
        <v>5.6705747397295756</v>
      </c>
      <c r="C27" s="160" t="s">
        <v>36</v>
      </c>
    </row>
    <row r="29" spans="1:7" x14ac:dyDescent="0.25">
      <c r="A29" s="72" t="s">
        <v>279</v>
      </c>
    </row>
    <row r="30" spans="1:7" x14ac:dyDescent="0.25">
      <c r="A30" s="157" t="s">
        <v>278</v>
      </c>
      <c r="G30" s="72" t="s">
        <v>232</v>
      </c>
    </row>
  </sheetData>
  <mergeCells count="7">
    <mergeCell ref="A25:C25"/>
    <mergeCell ref="A3:E3"/>
    <mergeCell ref="A16:B16"/>
    <mergeCell ref="A9:C9"/>
    <mergeCell ref="A4:C4"/>
    <mergeCell ref="A5:C5"/>
    <mergeCell ref="A6:C6"/>
  </mergeCells>
  <phoneticPr fontId="2" type="noConversion"/>
  <conditionalFormatting sqref="B17:B23">
    <cfRule type="cellIs" dxfId="1" priority="1" stopIfTrue="1" operator="equal">
      <formula>"YES"</formula>
    </cfRule>
    <cfRule type="containsText" dxfId="0" priority="2" stopIfTrue="1" operator="containsText" text="NO">
      <formula>NOT(ISERROR(SEARCH("NO",B17)))</formula>
    </cfRule>
  </conditionalFormatting>
  <hyperlinks>
    <hyperlink ref="A30" r:id="rId1"/>
  </hyperlinks>
  <pageMargins left="0.7" right="0.7" top="0.75" bottom="0.75"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opLeftCell="A21" zoomScale="90" zoomScaleNormal="90" workbookViewId="0">
      <selection activeCell="R54" sqref="R54"/>
    </sheetView>
  </sheetViews>
  <sheetFormatPr defaultColWidth="11.42578125" defaultRowHeight="15" x14ac:dyDescent="0.25"/>
  <cols>
    <col min="1" max="2" width="11.42578125" style="72"/>
    <col min="3" max="3" width="17.5703125" style="72" customWidth="1"/>
    <col min="4" max="17" width="11.42578125" style="72"/>
    <col min="18" max="18" width="13.85546875" style="72" customWidth="1"/>
    <col min="19" max="19" width="12.28515625" style="72" customWidth="1"/>
    <col min="20" max="20" width="14.140625" style="72" customWidth="1"/>
    <col min="21" max="16384" width="11.42578125" style="72"/>
  </cols>
  <sheetData>
    <row r="1" spans="1:22" ht="15.75" thickBot="1" x14ac:dyDescent="0.3"/>
    <row r="2" spans="1:22" ht="15.75" thickBot="1" x14ac:dyDescent="0.3">
      <c r="A2" s="74" t="s">
        <v>173</v>
      </c>
      <c r="B2" s="74"/>
      <c r="C2" s="75"/>
      <c r="D2" s="76" t="s">
        <v>2</v>
      </c>
      <c r="E2" s="76" t="s">
        <v>174</v>
      </c>
      <c r="F2" s="76" t="s">
        <v>175</v>
      </c>
      <c r="G2" s="76" t="s">
        <v>176</v>
      </c>
      <c r="H2" s="76">
        <v>40</v>
      </c>
      <c r="I2" s="76">
        <v>50</v>
      </c>
      <c r="J2" s="77" t="s">
        <v>177</v>
      </c>
      <c r="K2" s="76"/>
      <c r="L2" s="76"/>
      <c r="M2" s="76"/>
      <c r="N2" s="76"/>
      <c r="O2" s="76"/>
      <c r="P2" s="78"/>
      <c r="Q2" s="79" t="s">
        <v>170</v>
      </c>
      <c r="S2" s="80" t="s">
        <v>178</v>
      </c>
      <c r="T2" s="81" t="s">
        <v>179</v>
      </c>
      <c r="U2" s="81" t="s">
        <v>177</v>
      </c>
      <c r="V2" s="82" t="s">
        <v>170</v>
      </c>
    </row>
    <row r="3" spans="1:22" x14ac:dyDescent="0.25">
      <c r="A3" s="83" t="s">
        <v>180</v>
      </c>
      <c r="B3" s="83">
        <v>5</v>
      </c>
      <c r="C3" s="84"/>
      <c r="D3" s="76"/>
      <c r="E3" s="76"/>
      <c r="F3" s="76"/>
      <c r="G3" s="76"/>
      <c r="H3" s="76"/>
      <c r="I3" s="76"/>
      <c r="J3" s="85"/>
      <c r="K3" s="76"/>
      <c r="L3" s="76"/>
      <c r="M3" s="76"/>
      <c r="N3" s="76"/>
      <c r="O3" s="76"/>
      <c r="P3" s="78"/>
      <c r="Q3" s="86"/>
      <c r="S3" s="87">
        <v>5</v>
      </c>
      <c r="T3" s="88">
        <f>MAX(D3:D7)</f>
        <v>0.73</v>
      </c>
      <c r="U3" s="88">
        <f t="shared" ref="U3:U8" si="0">VLOOKUP(T3,$D$2:$J$29,7,FALSE)</f>
        <v>4.0000000000000015E-2</v>
      </c>
      <c r="V3" s="89">
        <f t="shared" ref="V3:V8" si="1">VLOOKUP(T3,$D$2:$Q$29,14,FALSE)</f>
        <v>0.39</v>
      </c>
    </row>
    <row r="4" spans="1:22" x14ac:dyDescent="0.25">
      <c r="A4" s="90" t="s">
        <v>181</v>
      </c>
      <c r="B4" s="90"/>
      <c r="C4" s="91"/>
      <c r="J4" s="92"/>
      <c r="P4" s="93"/>
      <c r="Q4" s="94"/>
      <c r="S4" s="87">
        <v>9</v>
      </c>
      <c r="T4" s="88">
        <f>MAX(D8:D9)</f>
        <v>0.88</v>
      </c>
      <c r="U4" s="88">
        <f t="shared" si="0"/>
        <v>0.12</v>
      </c>
      <c r="V4" s="89">
        <f t="shared" si="1"/>
        <v>0.7</v>
      </c>
    </row>
    <row r="5" spans="1:22" x14ac:dyDescent="0.25">
      <c r="A5" s="90" t="s">
        <v>182</v>
      </c>
      <c r="B5" s="90"/>
      <c r="C5" s="91"/>
      <c r="J5" s="92"/>
      <c r="P5" s="93"/>
      <c r="Q5" s="94"/>
      <c r="S5" s="87">
        <v>10</v>
      </c>
      <c r="T5" s="88">
        <f>MAX(D10:D12)</f>
        <v>0.94</v>
      </c>
      <c r="U5" s="88">
        <f t="shared" si="0"/>
        <v>0.14799999999999999</v>
      </c>
      <c r="V5" s="89">
        <f t="shared" si="1"/>
        <v>0.77</v>
      </c>
    </row>
    <row r="6" spans="1:22" x14ac:dyDescent="0.25">
      <c r="A6" s="95" t="s">
        <v>183</v>
      </c>
      <c r="B6" s="96"/>
      <c r="C6" s="97"/>
      <c r="D6" s="98">
        <v>0.73</v>
      </c>
      <c r="E6" s="98">
        <v>0.77</v>
      </c>
      <c r="F6" s="98">
        <v>0.81</v>
      </c>
      <c r="G6" s="98">
        <v>0.85</v>
      </c>
      <c r="H6" s="98">
        <v>0.89</v>
      </c>
      <c r="I6" s="98">
        <v>0.93</v>
      </c>
      <c r="J6" s="99">
        <f>AVERAGE(L6:P6)</f>
        <v>4.0000000000000015E-2</v>
      </c>
      <c r="K6" s="98"/>
      <c r="L6" s="98">
        <f>E6-D6</f>
        <v>4.0000000000000036E-2</v>
      </c>
      <c r="M6" s="98">
        <f>F6-E6</f>
        <v>4.0000000000000036E-2</v>
      </c>
      <c r="N6" s="98">
        <f>G6-F6</f>
        <v>3.9999999999999925E-2</v>
      </c>
      <c r="O6" s="98">
        <f>H6-G6</f>
        <v>4.0000000000000036E-2</v>
      </c>
      <c r="P6" s="100">
        <f>I6-H6</f>
        <v>4.0000000000000036E-2</v>
      </c>
      <c r="Q6" s="101">
        <v>0.39</v>
      </c>
      <c r="S6" s="87">
        <v>12</v>
      </c>
      <c r="T6" s="88">
        <f>MAX(D13:D16)</f>
        <v>1.1000000000000001</v>
      </c>
      <c r="U6" s="88">
        <f t="shared" si="0"/>
        <v>0.20800000000000002</v>
      </c>
      <c r="V6" s="89">
        <f t="shared" si="1"/>
        <v>0.93</v>
      </c>
    </row>
    <row r="7" spans="1:22" ht="15.75" thickBot="1" x14ac:dyDescent="0.3">
      <c r="A7" s="102" t="s">
        <v>184</v>
      </c>
      <c r="B7" s="102"/>
      <c r="C7" s="103"/>
      <c r="D7" s="104"/>
      <c r="E7" s="104"/>
      <c r="F7" s="104"/>
      <c r="G7" s="104"/>
      <c r="H7" s="104"/>
      <c r="I7" s="104"/>
      <c r="J7" s="105"/>
      <c r="K7" s="104"/>
      <c r="L7" s="104"/>
      <c r="M7" s="104"/>
      <c r="N7" s="104"/>
      <c r="O7" s="104"/>
      <c r="P7" s="106"/>
      <c r="Q7" s="107"/>
      <c r="S7" s="87">
        <v>15</v>
      </c>
      <c r="T7" s="88">
        <f>MAX(D17:D19)</f>
        <v>1.29</v>
      </c>
      <c r="U7" s="88">
        <f t="shared" si="0"/>
        <v>0.31399999999999995</v>
      </c>
      <c r="V7" s="89">
        <f t="shared" si="1"/>
        <v>1.1599999999999999</v>
      </c>
    </row>
    <row r="8" spans="1:22" x14ac:dyDescent="0.25">
      <c r="A8" s="95" t="s">
        <v>185</v>
      </c>
      <c r="B8" s="95">
        <v>9</v>
      </c>
      <c r="C8" s="108"/>
      <c r="D8" s="98">
        <v>0.88</v>
      </c>
      <c r="E8" s="98">
        <v>1</v>
      </c>
      <c r="F8" s="98">
        <v>1.1200000000000001</v>
      </c>
      <c r="G8" s="98">
        <v>1.24</v>
      </c>
      <c r="H8" s="98">
        <v>1.36</v>
      </c>
      <c r="I8" s="98">
        <v>1.48</v>
      </c>
      <c r="J8" s="99">
        <f>AVERAGE(L8:P8)</f>
        <v>0.12</v>
      </c>
      <c r="K8" s="98"/>
      <c r="L8" s="98">
        <f>E8-D8</f>
        <v>0.12</v>
      </c>
      <c r="M8" s="98">
        <f>F8-E8</f>
        <v>0.12000000000000011</v>
      </c>
      <c r="N8" s="98">
        <f>G8-F8</f>
        <v>0.11999999999999988</v>
      </c>
      <c r="O8" s="98">
        <f>H8-G8</f>
        <v>0.12000000000000011</v>
      </c>
      <c r="P8" s="100">
        <f>I8-H8</f>
        <v>0.11999999999999988</v>
      </c>
      <c r="Q8" s="109">
        <v>0.7</v>
      </c>
      <c r="S8" s="87">
        <v>18</v>
      </c>
      <c r="T8" s="88">
        <f>MAX(D20:D22)</f>
        <v>1.61</v>
      </c>
      <c r="U8" s="88">
        <f t="shared" si="0"/>
        <v>0.44000000000000006</v>
      </c>
      <c r="V8" s="89">
        <f t="shared" si="1"/>
        <v>1.39</v>
      </c>
    </row>
    <row r="9" spans="1:22" ht="15.75" thickBot="1" x14ac:dyDescent="0.3">
      <c r="A9" s="90" t="s">
        <v>186</v>
      </c>
      <c r="B9" s="90"/>
      <c r="C9" s="91"/>
      <c r="J9" s="92"/>
      <c r="P9" s="93"/>
      <c r="Q9" s="110"/>
      <c r="S9" s="87">
        <v>24</v>
      </c>
      <c r="T9" s="88">
        <f>MAX(D23:D25)</f>
        <v>2.29</v>
      </c>
      <c r="U9" s="88">
        <f>VLOOKUP(T9,$D$2:$J$29,7,FALSE)</f>
        <v>0.75</v>
      </c>
      <c r="V9" s="89">
        <f>VLOOKUP(T9,$D$2:$Q$29,14,FALSE)</f>
        <v>1.86</v>
      </c>
    </row>
    <row r="10" spans="1:22" x14ac:dyDescent="0.25">
      <c r="A10" s="111" t="s">
        <v>187</v>
      </c>
      <c r="B10" s="111">
        <v>10</v>
      </c>
      <c r="C10" s="112"/>
      <c r="D10" s="113">
        <v>0.94</v>
      </c>
      <c r="E10" s="113">
        <v>1.0900000000000001</v>
      </c>
      <c r="F10" s="113">
        <v>1.24</v>
      </c>
      <c r="G10" s="113">
        <v>1.38</v>
      </c>
      <c r="H10" s="113">
        <v>1.53</v>
      </c>
      <c r="I10" s="113">
        <v>1.68</v>
      </c>
      <c r="J10" s="114">
        <f>AVERAGE(L10:P10)</f>
        <v>0.14799999999999999</v>
      </c>
      <c r="K10" s="113"/>
      <c r="L10" s="113">
        <f>E10-D10</f>
        <v>0.15000000000000013</v>
      </c>
      <c r="M10" s="113">
        <f>F10-E10</f>
        <v>0.14999999999999991</v>
      </c>
      <c r="N10" s="113">
        <f>G10-F10</f>
        <v>0.1399999999999999</v>
      </c>
      <c r="O10" s="113">
        <f>H10-G10</f>
        <v>0.15000000000000013</v>
      </c>
      <c r="P10" s="115">
        <f>I10-H10</f>
        <v>0.14999999999999991</v>
      </c>
      <c r="Q10" s="109">
        <v>0.77</v>
      </c>
      <c r="S10" s="87">
        <v>27</v>
      </c>
      <c r="T10" s="88">
        <f>MAX(D27:D29)</f>
        <v>2.62</v>
      </c>
      <c r="U10" s="88">
        <f>VLOOKUP(T10,$D$2:$J$29,7,FALSE)</f>
        <v>0.92599999999999993</v>
      </c>
      <c r="V10" s="89">
        <f>VLOOKUP(T10,$D$2:$Q$29,14,FALSE)</f>
        <v>2.09</v>
      </c>
    </row>
    <row r="11" spans="1:22" x14ac:dyDescent="0.25">
      <c r="A11" s="90" t="s">
        <v>188</v>
      </c>
      <c r="B11" s="90"/>
      <c r="C11" s="91"/>
      <c r="J11" s="92"/>
      <c r="P11" s="93"/>
      <c r="Q11" s="116"/>
      <c r="S11" s="87">
        <v>30</v>
      </c>
      <c r="T11" s="88">
        <v>3.17</v>
      </c>
      <c r="U11" s="88">
        <v>1.32</v>
      </c>
      <c r="V11" s="89">
        <v>2.3199999999999998</v>
      </c>
    </row>
    <row r="12" spans="1:22" ht="15.75" thickBot="1" x14ac:dyDescent="0.3">
      <c r="A12" s="102" t="s">
        <v>189</v>
      </c>
      <c r="B12" s="102"/>
      <c r="C12" s="103"/>
      <c r="D12" s="104"/>
      <c r="E12" s="104"/>
      <c r="F12" s="104"/>
      <c r="G12" s="104"/>
      <c r="H12" s="104"/>
      <c r="I12" s="104"/>
      <c r="J12" s="105"/>
      <c r="K12" s="104"/>
      <c r="L12" s="104"/>
      <c r="M12" s="104"/>
      <c r="N12" s="104"/>
      <c r="O12" s="104"/>
      <c r="P12" s="106"/>
      <c r="Q12" s="110"/>
      <c r="S12" s="87">
        <v>35</v>
      </c>
      <c r="T12" s="88">
        <v>4.08</v>
      </c>
      <c r="U12" s="88">
        <v>1.514</v>
      </c>
      <c r="V12" s="89">
        <v>2.72</v>
      </c>
    </row>
    <row r="13" spans="1:22" ht="15.75" thickBot="1" x14ac:dyDescent="0.3">
      <c r="A13" s="95" t="s">
        <v>190</v>
      </c>
      <c r="B13" s="95">
        <v>12</v>
      </c>
      <c r="C13" s="108"/>
      <c r="D13" s="98">
        <v>1.1000000000000001</v>
      </c>
      <c r="E13" s="98">
        <v>1.31</v>
      </c>
      <c r="F13" s="98">
        <v>1.51</v>
      </c>
      <c r="G13" s="98">
        <v>1.72</v>
      </c>
      <c r="H13" s="98">
        <v>1.93</v>
      </c>
      <c r="I13" s="98">
        <v>2.14</v>
      </c>
      <c r="J13" s="99">
        <f>AVERAGE(L13:P13)</f>
        <v>0.20800000000000002</v>
      </c>
      <c r="K13" s="98"/>
      <c r="L13" s="98">
        <f>E13-D13</f>
        <v>0.20999999999999996</v>
      </c>
      <c r="M13" s="98">
        <f>F13-E13</f>
        <v>0.19999999999999996</v>
      </c>
      <c r="N13" s="98">
        <f>G13-F13</f>
        <v>0.20999999999999996</v>
      </c>
      <c r="O13" s="98">
        <f>H13-G13</f>
        <v>0.20999999999999996</v>
      </c>
      <c r="P13" s="98">
        <f>I13-H13</f>
        <v>0.21000000000000019</v>
      </c>
      <c r="Q13" s="109">
        <v>0.93</v>
      </c>
      <c r="S13" s="117">
        <v>40</v>
      </c>
      <c r="T13" s="118">
        <v>5.15</v>
      </c>
      <c r="U13" s="118">
        <v>1.952</v>
      </c>
      <c r="V13" s="119">
        <v>3.12</v>
      </c>
    </row>
    <row r="14" spans="1:22" x14ac:dyDescent="0.25">
      <c r="A14" s="90" t="s">
        <v>191</v>
      </c>
      <c r="B14" s="90"/>
      <c r="C14" s="91"/>
      <c r="J14" s="92"/>
      <c r="P14" s="93"/>
      <c r="Q14" s="116"/>
    </row>
    <row r="15" spans="1:22" x14ac:dyDescent="0.25">
      <c r="A15" s="90" t="s">
        <v>192</v>
      </c>
      <c r="B15" s="90"/>
      <c r="C15" s="91"/>
      <c r="J15" s="92"/>
      <c r="P15" s="93"/>
      <c r="Q15" s="116"/>
    </row>
    <row r="16" spans="1:22" ht="15.75" thickBot="1" x14ac:dyDescent="0.3">
      <c r="A16" s="90" t="s">
        <v>193</v>
      </c>
      <c r="B16" s="90"/>
      <c r="C16" s="91"/>
      <c r="J16" s="92"/>
      <c r="P16" s="93"/>
      <c r="Q16" s="110"/>
    </row>
    <row r="17" spans="1:21" x14ac:dyDescent="0.25">
      <c r="A17" s="83" t="s">
        <v>194</v>
      </c>
      <c r="B17" s="83">
        <v>15</v>
      </c>
      <c r="C17" s="84"/>
      <c r="D17" s="113">
        <v>1.29</v>
      </c>
      <c r="E17" s="113">
        <v>1.61</v>
      </c>
      <c r="F17" s="113">
        <v>1.92</v>
      </c>
      <c r="G17" s="113">
        <v>2.23</v>
      </c>
      <c r="H17" s="113">
        <v>2.54</v>
      </c>
      <c r="I17" s="113">
        <v>2.86</v>
      </c>
      <c r="J17" s="114">
        <f>AVERAGE(L17:P17)</f>
        <v>0.31399999999999995</v>
      </c>
      <c r="K17" s="113"/>
      <c r="L17" s="113">
        <f>E17-D17</f>
        <v>0.32000000000000006</v>
      </c>
      <c r="M17" s="113">
        <f>F17-E17</f>
        <v>0.30999999999999983</v>
      </c>
      <c r="N17" s="113">
        <f>G17-F17</f>
        <v>0.31000000000000005</v>
      </c>
      <c r="O17" s="113">
        <f>H17-G17</f>
        <v>0.31000000000000005</v>
      </c>
      <c r="P17" s="115">
        <f>I17-H17</f>
        <v>0.31999999999999984</v>
      </c>
      <c r="Q17" s="109">
        <v>1.1599999999999999</v>
      </c>
    </row>
    <row r="18" spans="1:21" x14ac:dyDescent="0.25">
      <c r="A18" s="95" t="s">
        <v>195</v>
      </c>
      <c r="B18" s="95"/>
      <c r="C18" s="108"/>
      <c r="J18" s="92"/>
      <c r="P18" s="93"/>
      <c r="Q18" s="120"/>
      <c r="S18" s="72" t="s">
        <v>229</v>
      </c>
    </row>
    <row r="19" spans="1:21" ht="15.75" thickBot="1" x14ac:dyDescent="0.3">
      <c r="A19" s="102" t="s">
        <v>196</v>
      </c>
      <c r="B19" s="102"/>
      <c r="C19" s="103"/>
      <c r="D19" s="104"/>
      <c r="E19" s="104"/>
      <c r="F19" s="104"/>
      <c r="G19" s="104"/>
      <c r="H19" s="104"/>
      <c r="I19" s="104"/>
      <c r="J19" s="105"/>
      <c r="K19" s="104"/>
      <c r="L19" s="104"/>
      <c r="M19" s="104"/>
      <c r="N19" s="104"/>
      <c r="O19" s="104"/>
      <c r="P19" s="106"/>
      <c r="Q19" s="110"/>
      <c r="S19" s="72">
        <v>38</v>
      </c>
      <c r="T19" s="72" t="s">
        <v>228</v>
      </c>
    </row>
    <row r="20" spans="1:21" x14ac:dyDescent="0.25">
      <c r="A20" s="95" t="s">
        <v>197</v>
      </c>
      <c r="B20" s="95">
        <v>18</v>
      </c>
      <c r="C20" s="108"/>
      <c r="D20" s="98">
        <v>1.61</v>
      </c>
      <c r="E20" s="98">
        <v>2.0499999999999998</v>
      </c>
      <c r="F20" s="98">
        <v>2.4900000000000002</v>
      </c>
      <c r="G20" s="98">
        <v>2.93</v>
      </c>
      <c r="H20" s="98">
        <v>3.37</v>
      </c>
      <c r="I20" s="98">
        <v>3.81</v>
      </c>
      <c r="J20" s="99">
        <f>AVERAGE(L20:P20)</f>
        <v>0.44000000000000006</v>
      </c>
      <c r="K20" s="98"/>
      <c r="L20" s="98">
        <f>E20-D20</f>
        <v>0.43999999999999972</v>
      </c>
      <c r="M20" s="98">
        <f>F20-E20</f>
        <v>0.44000000000000039</v>
      </c>
      <c r="N20" s="98">
        <f>G20-F20</f>
        <v>0.43999999999999995</v>
      </c>
      <c r="O20" s="98">
        <f>H20-G20</f>
        <v>0.43999999999999995</v>
      </c>
      <c r="P20" s="98">
        <f>I20-H20</f>
        <v>0.43999999999999995</v>
      </c>
      <c r="Q20" s="109">
        <v>1.39</v>
      </c>
    </row>
    <row r="21" spans="1:21" x14ac:dyDescent="0.25">
      <c r="A21" s="90" t="s">
        <v>198</v>
      </c>
      <c r="B21" s="90"/>
      <c r="C21" s="91"/>
      <c r="J21" s="92"/>
      <c r="P21" s="93"/>
      <c r="Q21" s="116"/>
      <c r="S21" s="72" t="s">
        <v>230</v>
      </c>
      <c r="T21" s="72">
        <f>(S19/2)/1000</f>
        <v>1.9E-2</v>
      </c>
      <c r="U21" s="72" t="s">
        <v>2</v>
      </c>
    </row>
    <row r="22" spans="1:21" ht="15.75" thickBot="1" x14ac:dyDescent="0.3">
      <c r="A22" s="90" t="s">
        <v>199</v>
      </c>
      <c r="B22" s="90"/>
      <c r="C22" s="91"/>
      <c r="J22" s="92"/>
      <c r="P22" s="93"/>
      <c r="Q22" s="116"/>
    </row>
    <row r="23" spans="1:21" x14ac:dyDescent="0.25">
      <c r="A23" s="90">
        <v>2920</v>
      </c>
      <c r="B23" s="83">
        <v>24</v>
      </c>
      <c r="C23" s="84" t="s">
        <v>200</v>
      </c>
      <c r="D23" s="76"/>
      <c r="E23" s="76"/>
      <c r="F23" s="76"/>
      <c r="G23" s="76"/>
      <c r="H23" s="76"/>
      <c r="I23" s="76"/>
      <c r="J23" s="85"/>
      <c r="K23" s="76"/>
      <c r="L23" s="76"/>
      <c r="M23" s="76"/>
      <c r="N23" s="76"/>
      <c r="O23" s="76"/>
      <c r="P23" s="78"/>
      <c r="Q23" s="121"/>
    </row>
    <row r="24" spans="1:21" x14ac:dyDescent="0.25">
      <c r="A24" s="95"/>
      <c r="B24" s="95"/>
      <c r="C24" s="108" t="s">
        <v>201</v>
      </c>
      <c r="D24" s="98">
        <v>2.29</v>
      </c>
      <c r="E24" s="98">
        <v>3.04</v>
      </c>
      <c r="F24" s="98">
        <v>3.79</v>
      </c>
      <c r="G24" s="98">
        <v>4.54</v>
      </c>
      <c r="H24" s="98">
        <v>5.29</v>
      </c>
      <c r="I24" s="98">
        <v>6.04</v>
      </c>
      <c r="J24" s="99">
        <f>AVERAGE(L24:P24)</f>
        <v>0.75</v>
      </c>
      <c r="K24" s="98"/>
      <c r="L24" s="98">
        <f>E24-D24</f>
        <v>0.75</v>
      </c>
      <c r="M24" s="98">
        <f>F24-E24</f>
        <v>0.75</v>
      </c>
      <c r="N24" s="98">
        <f>G24-F24</f>
        <v>0.75</v>
      </c>
      <c r="O24" s="98">
        <f>H24-G24</f>
        <v>0.75</v>
      </c>
      <c r="P24" s="98">
        <f>I24-H24</f>
        <v>0.75</v>
      </c>
      <c r="Q24" s="122">
        <v>1.86</v>
      </c>
    </row>
    <row r="25" spans="1:21" ht="15.75" thickBot="1" x14ac:dyDescent="0.3">
      <c r="A25" s="90"/>
      <c r="B25" s="102"/>
      <c r="C25" s="103" t="s">
        <v>202</v>
      </c>
      <c r="D25" s="104"/>
      <c r="E25" s="104"/>
      <c r="F25" s="104"/>
      <c r="G25" s="104"/>
      <c r="H25" s="104"/>
      <c r="I25" s="104"/>
      <c r="J25" s="105"/>
      <c r="K25" s="104"/>
      <c r="L25" s="104"/>
      <c r="M25" s="104"/>
      <c r="N25" s="104"/>
      <c r="O25" s="104"/>
      <c r="P25" s="106"/>
      <c r="Q25" s="110"/>
    </row>
    <row r="26" spans="1:21" ht="15.75" thickBot="1" x14ac:dyDescent="0.3">
      <c r="A26" s="123">
        <v>3080</v>
      </c>
      <c r="B26" s="123">
        <v>25</v>
      </c>
      <c r="C26" s="124" t="s">
        <v>203</v>
      </c>
      <c r="D26" s="125"/>
      <c r="E26" s="125"/>
      <c r="F26" s="125"/>
      <c r="G26" s="125"/>
      <c r="H26" s="125"/>
      <c r="I26" s="125"/>
      <c r="J26" s="126"/>
      <c r="K26" s="125"/>
      <c r="L26" s="125"/>
      <c r="M26" s="125"/>
      <c r="N26" s="125"/>
      <c r="O26" s="125"/>
      <c r="P26" s="127"/>
      <c r="Q26" s="116"/>
    </row>
    <row r="27" spans="1:21" x14ac:dyDescent="0.25">
      <c r="A27" s="83">
        <v>3240</v>
      </c>
      <c r="B27" s="83">
        <v>27</v>
      </c>
      <c r="C27" s="84" t="s">
        <v>204</v>
      </c>
      <c r="D27" s="113">
        <v>2.62</v>
      </c>
      <c r="E27" s="113">
        <v>3.55</v>
      </c>
      <c r="F27" s="113">
        <v>4.47</v>
      </c>
      <c r="G27" s="113">
        <v>5.4</v>
      </c>
      <c r="H27" s="113">
        <v>6.33</v>
      </c>
      <c r="I27" s="113">
        <v>7.25</v>
      </c>
      <c r="J27" s="114">
        <f>AVERAGE(L27:P27)</f>
        <v>0.92599999999999993</v>
      </c>
      <c r="K27" s="113"/>
      <c r="L27" s="113">
        <f>E27-D27</f>
        <v>0.92999999999999972</v>
      </c>
      <c r="M27" s="113">
        <f>F27-E27</f>
        <v>0.91999999999999993</v>
      </c>
      <c r="N27" s="113">
        <f>G27-F27</f>
        <v>0.9300000000000006</v>
      </c>
      <c r="O27" s="113">
        <f>H27-G27</f>
        <v>0.92999999999999972</v>
      </c>
      <c r="P27" s="113">
        <f>I27-H27</f>
        <v>0.91999999999999993</v>
      </c>
      <c r="Q27" s="109">
        <v>2.09</v>
      </c>
    </row>
    <row r="28" spans="1:21" x14ac:dyDescent="0.25">
      <c r="A28" s="90"/>
      <c r="B28" s="90"/>
      <c r="C28" s="91" t="s">
        <v>205</v>
      </c>
      <c r="J28" s="92"/>
      <c r="Q28" s="116"/>
    </row>
    <row r="29" spans="1:21" ht="15.75" thickBot="1" x14ac:dyDescent="0.3">
      <c r="A29" s="128"/>
      <c r="B29" s="128"/>
      <c r="C29" s="129" t="s">
        <v>206</v>
      </c>
      <c r="D29" s="104"/>
      <c r="E29" s="104"/>
      <c r="F29" s="104"/>
      <c r="G29" s="104"/>
      <c r="H29" s="104"/>
      <c r="I29" s="104"/>
      <c r="J29" s="105"/>
      <c r="K29" s="104"/>
      <c r="L29" s="104"/>
      <c r="M29" s="104"/>
      <c r="N29" s="104"/>
      <c r="O29" s="104"/>
      <c r="P29" s="104"/>
      <c r="Q29" s="130"/>
    </row>
    <row r="30" spans="1:21" x14ac:dyDescent="0.25">
      <c r="B30" s="131">
        <v>30</v>
      </c>
      <c r="C30" s="78"/>
      <c r="D30" s="113">
        <v>3.17</v>
      </c>
      <c r="E30" s="113">
        <v>4.3</v>
      </c>
      <c r="F30" s="113">
        <v>5.43</v>
      </c>
      <c r="G30" s="113">
        <v>6.57</v>
      </c>
      <c r="H30" s="113">
        <v>7.7</v>
      </c>
      <c r="I30" s="113">
        <v>8.83</v>
      </c>
      <c r="J30" s="113">
        <f>AVERAGE(L30:P30)</f>
        <v>1.1320000000000001</v>
      </c>
      <c r="K30" s="113"/>
      <c r="L30" s="113">
        <f>E30-D30</f>
        <v>1.1299999999999999</v>
      </c>
      <c r="M30" s="113">
        <f>F30-E30</f>
        <v>1.1299999999999999</v>
      </c>
      <c r="N30" s="113">
        <f>G30-F30</f>
        <v>1.1400000000000006</v>
      </c>
      <c r="O30" s="113">
        <f>H30-G30</f>
        <v>1.1299999999999999</v>
      </c>
      <c r="P30" s="113">
        <f>I30-H30</f>
        <v>1.1299999999999999</v>
      </c>
      <c r="Q30" s="109">
        <v>2.3199999999999998</v>
      </c>
    </row>
    <row r="31" spans="1:21" ht="15.75" thickBot="1" x14ac:dyDescent="0.3">
      <c r="B31" s="132"/>
      <c r="C31" s="106"/>
      <c r="D31" s="104"/>
      <c r="E31" s="104"/>
      <c r="F31" s="104"/>
      <c r="G31" s="104"/>
      <c r="H31" s="104"/>
      <c r="I31" s="104"/>
      <c r="J31" s="104"/>
      <c r="K31" s="104"/>
      <c r="L31" s="104"/>
      <c r="M31" s="104"/>
      <c r="N31" s="104"/>
      <c r="O31" s="104"/>
      <c r="P31" s="104"/>
      <c r="Q31" s="133"/>
    </row>
    <row r="32" spans="1:21" x14ac:dyDescent="0.25">
      <c r="B32" s="131">
        <v>35</v>
      </c>
      <c r="C32" s="78"/>
      <c r="D32" s="113">
        <v>4.08</v>
      </c>
      <c r="E32" s="113">
        <v>5.59</v>
      </c>
      <c r="F32" s="113">
        <v>7.1</v>
      </c>
      <c r="G32" s="113">
        <v>8.6199999999999992</v>
      </c>
      <c r="H32" s="113">
        <v>10.3</v>
      </c>
      <c r="I32" s="113">
        <v>11.65</v>
      </c>
      <c r="J32" s="113">
        <f>AVERAGE(L32:P32)</f>
        <v>1.514</v>
      </c>
      <c r="K32" s="113"/>
      <c r="L32" s="113">
        <f>E32-D32</f>
        <v>1.5099999999999998</v>
      </c>
      <c r="M32" s="113">
        <f>F32-E32</f>
        <v>1.5099999999999998</v>
      </c>
      <c r="N32" s="113">
        <f>G32-F32</f>
        <v>1.5199999999999996</v>
      </c>
      <c r="O32" s="113">
        <f>H32-G32</f>
        <v>1.6800000000000015</v>
      </c>
      <c r="P32" s="113">
        <f>I32-H32</f>
        <v>1.3499999999999996</v>
      </c>
      <c r="Q32" s="134">
        <v>2.72</v>
      </c>
    </row>
    <row r="33" spans="2:17" ht="15.75" thickBot="1" x14ac:dyDescent="0.3">
      <c r="B33" s="132"/>
      <c r="C33" s="106"/>
      <c r="D33" s="104"/>
      <c r="E33" s="104"/>
      <c r="F33" s="104"/>
      <c r="G33" s="104"/>
      <c r="H33" s="104"/>
      <c r="I33" s="104"/>
      <c r="J33" s="104"/>
      <c r="K33" s="104"/>
      <c r="L33" s="104"/>
      <c r="M33" s="104"/>
      <c r="N33" s="104"/>
      <c r="O33" s="104"/>
      <c r="P33" s="104"/>
      <c r="Q33" s="133"/>
    </row>
    <row r="34" spans="2:17" x14ac:dyDescent="0.25">
      <c r="B34" s="131">
        <v>40</v>
      </c>
      <c r="C34" s="78"/>
      <c r="D34" s="113">
        <v>5.15</v>
      </c>
      <c r="E34" s="113">
        <v>7.1</v>
      </c>
      <c r="F34" s="113">
        <v>9.0500000000000007</v>
      </c>
      <c r="G34" s="113">
        <v>11.01</v>
      </c>
      <c r="H34" s="113">
        <v>12.96</v>
      </c>
      <c r="I34" s="113">
        <v>14.91</v>
      </c>
      <c r="J34" s="113">
        <f>AVERAGE(L34:P34)</f>
        <v>1.952</v>
      </c>
      <c r="K34" s="113"/>
      <c r="L34" s="113">
        <f>E34-D34</f>
        <v>1.9499999999999993</v>
      </c>
      <c r="M34" s="113">
        <f>F34-E34</f>
        <v>1.9500000000000011</v>
      </c>
      <c r="N34" s="113">
        <f>G34-F34</f>
        <v>1.9599999999999991</v>
      </c>
      <c r="O34" s="113">
        <f>H34-G34</f>
        <v>1.9500000000000011</v>
      </c>
      <c r="P34" s="113">
        <f>I34-H34</f>
        <v>1.9499999999999993</v>
      </c>
      <c r="Q34" s="134">
        <v>3.12</v>
      </c>
    </row>
    <row r="35" spans="2:17" ht="15.75" thickBot="1" x14ac:dyDescent="0.3">
      <c r="B35" s="132"/>
      <c r="C35" s="106"/>
      <c r="D35" s="104"/>
      <c r="E35" s="104"/>
      <c r="F35" s="104"/>
      <c r="G35" s="104"/>
      <c r="H35" s="104"/>
      <c r="I35" s="104"/>
      <c r="J35" s="104"/>
      <c r="K35" s="104"/>
      <c r="L35" s="104"/>
      <c r="M35" s="104"/>
      <c r="N35" s="104"/>
      <c r="O35" s="104"/>
      <c r="P35" s="104"/>
      <c r="Q35" s="133"/>
    </row>
    <row r="53" spans="2:19" x14ac:dyDescent="0.25">
      <c r="B53" s="72" t="s">
        <v>207</v>
      </c>
      <c r="K53" s="72" t="s">
        <v>208</v>
      </c>
      <c r="R53" s="72" t="s">
        <v>209</v>
      </c>
    </row>
    <row r="54" spans="2:19" x14ac:dyDescent="0.25">
      <c r="B54" s="72" t="e">
        <f>(0.0028*'Pump calculator'!D4^2)-(0.0016*'Pump calculator'!D4)+0.6814</f>
        <v>#VALUE!</v>
      </c>
      <c r="C54" s="72" t="s">
        <v>2</v>
      </c>
      <c r="K54" s="72" t="e">
        <f>(0.001*'Pump calculator'!D4^2)+(0.0115*'Pump calculator'!D4)-0.0648</f>
        <v>#VALUE!</v>
      </c>
      <c r="L54" s="72" t="s">
        <v>210</v>
      </c>
      <c r="R54" s="73" t="e">
        <f>0.0776*'Pump calculator'!D4^0.9998</f>
        <v>#VALUE!</v>
      </c>
      <c r="S54" s="72" t="s">
        <v>170</v>
      </c>
    </row>
    <row r="58" spans="2:19" ht="15.75" x14ac:dyDescent="0.25">
      <c r="B58" s="137" t="s">
        <v>211</v>
      </c>
    </row>
    <row r="59" spans="2:19" x14ac:dyDescent="0.25">
      <c r="C59" s="72" t="s">
        <v>212</v>
      </c>
      <c r="D59" s="72" t="e">
        <f>B54</f>
        <v>#VALUE!</v>
      </c>
      <c r="E59" s="72" t="s">
        <v>2</v>
      </c>
    </row>
    <row r="60" spans="2:19" x14ac:dyDescent="0.25">
      <c r="C60" s="72" t="s">
        <v>213</v>
      </c>
      <c r="D60" s="72" t="e">
        <f>K54</f>
        <v>#VALUE!</v>
      </c>
      <c r="E60" s="72" t="s">
        <v>210</v>
      </c>
    </row>
    <row r="62" spans="2:19" x14ac:dyDescent="0.25">
      <c r="C62" s="72" t="s">
        <v>214</v>
      </c>
      <c r="D62" s="72" t="e">
        <f>'head loss data'!D59+(('Pump calculator'!D5/10)*'head loss data'!D60)+'Pump calculator'!D6</f>
        <v>#VALUE!</v>
      </c>
      <c r="E62" s="72" t="s">
        <v>2</v>
      </c>
    </row>
    <row r="64" spans="2:19" x14ac:dyDescent="0.25">
      <c r="C64" s="72" t="s">
        <v>215</v>
      </c>
      <c r="D64" s="72">
        <v>1.2</v>
      </c>
    </row>
    <row r="66" spans="2:5" x14ac:dyDescent="0.25">
      <c r="C66" s="72" t="s">
        <v>216</v>
      </c>
      <c r="D66" s="72" t="e">
        <f>D62*D64</f>
        <v>#VALUE!</v>
      </c>
      <c r="E66" s="72" t="s">
        <v>2</v>
      </c>
    </row>
    <row r="70" spans="2:5" ht="15.75" x14ac:dyDescent="0.25">
      <c r="B70" s="137" t="s">
        <v>234</v>
      </c>
    </row>
    <row r="71" spans="2:5" x14ac:dyDescent="0.25">
      <c r="C71" s="72">
        <f>'ESP Leaching Bed'!$C$11/24</f>
        <v>0</v>
      </c>
      <c r="D71" s="72" t="s">
        <v>36</v>
      </c>
      <c r="E71" s="72" t="s">
        <v>226</v>
      </c>
    </row>
    <row r="72" spans="2:5" x14ac:dyDescent="0.25">
      <c r="C72" s="136">
        <f>(PI()*'head loss data'!T21^2*'Pump calculator'!D5)*1000</f>
        <v>5.6705747397295756</v>
      </c>
      <c r="D72" s="72" t="s">
        <v>36</v>
      </c>
      <c r="E72" s="72" t="s">
        <v>227</v>
      </c>
    </row>
    <row r="73" spans="2:5" x14ac:dyDescent="0.25">
      <c r="C73" s="72" t="s">
        <v>233</v>
      </c>
    </row>
    <row r="74" spans="2:5" x14ac:dyDescent="0.25">
      <c r="C74" s="72">
        <f>SUM(C71:C72)</f>
        <v>5.6705747397295756</v>
      </c>
      <c r="D74" s="72" t="s">
        <v>36</v>
      </c>
    </row>
    <row r="77" spans="2:5" ht="15.75" x14ac:dyDescent="0.25">
      <c r="B77" s="137" t="s">
        <v>235</v>
      </c>
    </row>
    <row r="78" spans="2:5" x14ac:dyDescent="0.25">
      <c r="C78" s="72">
        <f>MROUND('ESP Leaching Bed'!C11*0.5,5)</f>
        <v>0</v>
      </c>
    </row>
    <row r="79" spans="2:5" x14ac:dyDescent="0.25">
      <c r="C79" s="142"/>
    </row>
    <row r="80" spans="2:5" x14ac:dyDescent="0.25">
      <c r="B80" s="72" t="s">
        <v>109</v>
      </c>
      <c r="C80" s="142">
        <f>SUM(C78:C79)</f>
        <v>0</v>
      </c>
      <c r="D80" s="72" t="s">
        <v>36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G24" sqref="G24"/>
    </sheetView>
  </sheetViews>
  <sheetFormatPr defaultColWidth="11.42578125" defaultRowHeight="15" x14ac:dyDescent="0.25"/>
  <cols>
    <col min="1" max="16384" width="11.42578125" style="72"/>
  </cols>
  <sheetData>
    <row r="1" spans="1:25" x14ac:dyDescent="0.25">
      <c r="A1" s="72" t="s">
        <v>255</v>
      </c>
      <c r="B1" s="73" t="e">
        <f>'Pump calculator'!B14</f>
        <v>#VALUE!</v>
      </c>
      <c r="C1" s="72" t="s">
        <v>172</v>
      </c>
    </row>
    <row r="3" spans="1:25" x14ac:dyDescent="0.25">
      <c r="A3" s="135" t="s">
        <v>217</v>
      </c>
      <c r="D3" s="135" t="s">
        <v>218</v>
      </c>
      <c r="G3" s="135" t="s">
        <v>219</v>
      </c>
      <c r="J3" s="135" t="s">
        <v>220</v>
      </c>
      <c r="M3" s="135" t="s">
        <v>221</v>
      </c>
      <c r="P3" s="135" t="s">
        <v>222</v>
      </c>
      <c r="S3" s="135" t="s">
        <v>257</v>
      </c>
    </row>
    <row r="4" spans="1:25" x14ac:dyDescent="0.25">
      <c r="A4" s="72" t="s">
        <v>172</v>
      </c>
      <c r="B4" s="72" t="s">
        <v>171</v>
      </c>
      <c r="D4" s="72" t="s">
        <v>172</v>
      </c>
      <c r="E4" s="72" t="s">
        <v>171</v>
      </c>
      <c r="G4" s="72" t="s">
        <v>172</v>
      </c>
      <c r="H4" s="72" t="s">
        <v>171</v>
      </c>
      <c r="J4" s="72" t="s">
        <v>223</v>
      </c>
      <c r="K4" s="72" t="s">
        <v>171</v>
      </c>
      <c r="M4" s="72" t="s">
        <v>223</v>
      </c>
      <c r="N4" s="72" t="s">
        <v>171</v>
      </c>
      <c r="P4" s="72" t="s">
        <v>223</v>
      </c>
      <c r="Q4" s="72" t="s">
        <v>171</v>
      </c>
      <c r="S4" s="72" t="s">
        <v>223</v>
      </c>
      <c r="T4" s="72" t="s">
        <v>224</v>
      </c>
    </row>
    <row r="5" spans="1:25" x14ac:dyDescent="0.25">
      <c r="A5" s="72">
        <v>50</v>
      </c>
      <c r="B5" s="72">
        <v>5</v>
      </c>
      <c r="D5" s="72">
        <v>69</v>
      </c>
      <c r="E5" s="72">
        <v>5</v>
      </c>
      <c r="G5" s="72">
        <v>77</v>
      </c>
      <c r="H5" s="72">
        <v>5</v>
      </c>
      <c r="J5" s="72">
        <v>50</v>
      </c>
      <c r="K5" s="72">
        <v>1</v>
      </c>
      <c r="M5" s="72">
        <v>67.5</v>
      </c>
      <c r="N5" s="72">
        <v>0</v>
      </c>
      <c r="P5" s="72">
        <v>80</v>
      </c>
      <c r="Q5" s="72">
        <v>2.8</v>
      </c>
      <c r="S5">
        <v>90</v>
      </c>
      <c r="T5">
        <v>3</v>
      </c>
    </row>
    <row r="6" spans="1:25" x14ac:dyDescent="0.25">
      <c r="A6" s="72">
        <v>45</v>
      </c>
      <c r="B6" s="72">
        <v>10</v>
      </c>
      <c r="D6" s="72">
        <v>61</v>
      </c>
      <c r="E6" s="72">
        <v>10</v>
      </c>
      <c r="G6" s="72">
        <v>70</v>
      </c>
      <c r="H6" s="72">
        <v>10</v>
      </c>
      <c r="J6" s="72">
        <v>40</v>
      </c>
      <c r="K6" s="72">
        <v>8</v>
      </c>
      <c r="M6" s="72">
        <v>60</v>
      </c>
      <c r="N6" s="72">
        <v>7</v>
      </c>
      <c r="P6" s="72">
        <v>70</v>
      </c>
      <c r="Q6" s="72">
        <v>11.75</v>
      </c>
      <c r="S6">
        <v>80</v>
      </c>
      <c r="T6">
        <v>12.5</v>
      </c>
    </row>
    <row r="7" spans="1:25" x14ac:dyDescent="0.25">
      <c r="A7" s="72">
        <v>38</v>
      </c>
      <c r="B7" s="72">
        <v>15</v>
      </c>
      <c r="D7" s="72">
        <v>53</v>
      </c>
      <c r="E7" s="72">
        <v>15</v>
      </c>
      <c r="G7" s="72">
        <v>61</v>
      </c>
      <c r="H7" s="72">
        <v>15</v>
      </c>
      <c r="J7" s="72">
        <v>30</v>
      </c>
      <c r="K7" s="72">
        <v>13.5</v>
      </c>
      <c r="M7" s="72">
        <v>50</v>
      </c>
      <c r="N7" s="72">
        <v>14.5</v>
      </c>
      <c r="P7" s="72">
        <v>60</v>
      </c>
      <c r="Q7" s="72">
        <v>18.666</v>
      </c>
      <c r="S7">
        <v>70</v>
      </c>
      <c r="T7">
        <v>20.75</v>
      </c>
    </row>
    <row r="8" spans="1:25" x14ac:dyDescent="0.25">
      <c r="A8" s="72">
        <v>29</v>
      </c>
      <c r="B8" s="72">
        <v>20</v>
      </c>
      <c r="D8" s="72">
        <v>44</v>
      </c>
      <c r="E8" s="72">
        <v>20</v>
      </c>
      <c r="G8" s="72">
        <v>52</v>
      </c>
      <c r="H8" s="72">
        <v>20</v>
      </c>
      <c r="J8" s="72">
        <v>20</v>
      </c>
      <c r="K8" s="72">
        <v>18</v>
      </c>
      <c r="M8" s="72">
        <v>40</v>
      </c>
      <c r="N8" s="72">
        <v>21</v>
      </c>
      <c r="P8" s="72">
        <v>50</v>
      </c>
      <c r="Q8" s="72">
        <v>25.33</v>
      </c>
      <c r="S8">
        <v>60</v>
      </c>
      <c r="T8">
        <v>27.75</v>
      </c>
    </row>
    <row r="9" spans="1:25" x14ac:dyDescent="0.25">
      <c r="A9" s="72">
        <v>16</v>
      </c>
      <c r="B9" s="72">
        <v>25</v>
      </c>
      <c r="D9" s="72">
        <v>34</v>
      </c>
      <c r="E9" s="72">
        <v>25</v>
      </c>
      <c r="G9" s="72">
        <v>42</v>
      </c>
      <c r="H9" s="72">
        <v>25</v>
      </c>
      <c r="J9" s="72">
        <v>10</v>
      </c>
      <c r="K9" s="72">
        <v>21</v>
      </c>
      <c r="M9" s="72">
        <v>30</v>
      </c>
      <c r="N9" s="72">
        <v>26.5</v>
      </c>
      <c r="P9" s="72">
        <v>40</v>
      </c>
      <c r="Q9" s="72">
        <v>31.5</v>
      </c>
      <c r="S9">
        <v>50</v>
      </c>
      <c r="T9">
        <v>33.665999999999997</v>
      </c>
    </row>
    <row r="10" spans="1:25" x14ac:dyDescent="0.25">
      <c r="D10" s="72">
        <v>23</v>
      </c>
      <c r="E10" s="72">
        <v>30</v>
      </c>
      <c r="G10" s="72">
        <v>33</v>
      </c>
      <c r="H10" s="72">
        <v>30</v>
      </c>
      <c r="J10" s="72">
        <v>0</v>
      </c>
      <c r="K10" s="72">
        <v>23</v>
      </c>
      <c r="M10" s="72">
        <v>20</v>
      </c>
      <c r="N10" s="72">
        <v>31</v>
      </c>
      <c r="P10" s="72">
        <v>30</v>
      </c>
      <c r="Q10" s="72">
        <v>37</v>
      </c>
      <c r="S10">
        <v>40</v>
      </c>
      <c r="T10">
        <v>38.75</v>
      </c>
    </row>
    <row r="11" spans="1:25" x14ac:dyDescent="0.25">
      <c r="G11" s="72">
        <v>22</v>
      </c>
      <c r="H11" s="72">
        <v>35</v>
      </c>
      <c r="M11" s="72">
        <v>10</v>
      </c>
      <c r="N11" s="72">
        <v>34.5</v>
      </c>
      <c r="P11" s="72">
        <v>20</v>
      </c>
      <c r="Q11" s="72">
        <v>41.8</v>
      </c>
      <c r="S11">
        <v>30</v>
      </c>
      <c r="T11">
        <v>43.25</v>
      </c>
    </row>
    <row r="12" spans="1:25" x14ac:dyDescent="0.25">
      <c r="G12" s="72">
        <v>11</v>
      </c>
      <c r="H12" s="72">
        <v>40</v>
      </c>
      <c r="J12" s="72" t="s">
        <v>253</v>
      </c>
      <c r="M12" s="72">
        <v>0</v>
      </c>
      <c r="N12" s="72">
        <v>37</v>
      </c>
      <c r="P12" s="72">
        <v>10</v>
      </c>
      <c r="Q12" s="72">
        <v>45.6</v>
      </c>
      <c r="S12">
        <v>20</v>
      </c>
      <c r="T12">
        <v>47.332999999999998</v>
      </c>
    </row>
    <row r="13" spans="1:25" x14ac:dyDescent="0.25">
      <c r="A13" s="72" t="s">
        <v>250</v>
      </c>
      <c r="D13" s="72" t="s">
        <v>251</v>
      </c>
      <c r="G13" s="72" t="s">
        <v>252</v>
      </c>
      <c r="M13" s="72" t="s">
        <v>256</v>
      </c>
      <c r="P13" s="72">
        <v>0</v>
      </c>
      <c r="Q13" s="72">
        <v>48</v>
      </c>
      <c r="S13">
        <v>10</v>
      </c>
      <c r="T13">
        <v>51.2</v>
      </c>
    </row>
    <row r="14" spans="1:25" x14ac:dyDescent="0.25">
      <c r="S14">
        <v>0</v>
      </c>
      <c r="T14">
        <v>55</v>
      </c>
    </row>
    <row r="15" spans="1:25" x14ac:dyDescent="0.25">
      <c r="U15">
        <v>2.4431818181812834E-8</v>
      </c>
      <c r="V15">
        <v>-3.7476010101009254E-5</v>
      </c>
      <c r="W15">
        <v>1.1007007575757136E-3</v>
      </c>
      <c r="X15">
        <v>-0.39147777777777709</v>
      </c>
      <c r="Y15">
        <v>55.01368181818183</v>
      </c>
    </row>
    <row r="16" spans="1:25" x14ac:dyDescent="0.25">
      <c r="P16" s="72">
        <v>-8.8304195804196551E-7</v>
      </c>
      <c r="Q16" s="72">
        <v>1.4963856513856605E-4</v>
      </c>
      <c r="R16" s="72">
        <v>-1.1811050893550921E-2</v>
      </c>
      <c r="S16" s="72">
        <v>-0.12432415177415158</v>
      </c>
      <c r="T16" s="72">
        <v>47.96411033411033</v>
      </c>
    </row>
    <row r="19" spans="1:20" x14ac:dyDescent="0.25">
      <c r="A19" s="72" t="s">
        <v>254</v>
      </c>
      <c r="B19" s="72" t="e">
        <f>(-0.0104*B1^2)+(0.1091*B1)+25.844</f>
        <v>#VALUE!</v>
      </c>
      <c r="C19" s="72" t="s">
        <v>171</v>
      </c>
      <c r="D19" s="72" t="e">
        <f>(-0.0027*B1^2)+(-0.2993*B1)+38.298</f>
        <v>#VALUE!</v>
      </c>
      <c r="E19" s="72" t="s">
        <v>171</v>
      </c>
      <c r="G19" s="72" t="e">
        <f>(-0.0015*B1^2)+(-0.3913*B1)+ 44.421</f>
        <v>#VALUE!</v>
      </c>
      <c r="H19" s="72" t="s">
        <v>171</v>
      </c>
      <c r="J19" s="72" t="e">
        <f>(7.8063E-18*B1^4) - (0.0000092593*B1^3) - (0.0055556*B1^2)-(0.13876*B1) + 22.992</f>
        <v>#VALUE!</v>
      </c>
      <c r="K19" s="72" t="s">
        <v>171</v>
      </c>
      <c r="M19" s="72" t="e">
        <f>(-0.00000064742*B1^4)+(0.000072798*B1^3)-(0.0074839*B1^2)-(0.17471*B1)+36.982</f>
        <v>#VALUE!</v>
      </c>
      <c r="N19" s="72" t="s">
        <v>171</v>
      </c>
      <c r="P19" s="72" t="e">
        <f>(P16*B1^4)+(Q16*B1^3)+(R16*B1^2)+(S16*B1)+T16</f>
        <v>#VALUE!</v>
      </c>
      <c r="Q19" s="72" t="s">
        <v>171</v>
      </c>
      <c r="S19" s="72" t="e">
        <f>(U15*B1^4)+(V15*B1^3)+(W15*B1^2)+(X15*B1)+Y15</f>
        <v>#VALUE!</v>
      </c>
      <c r="T19" s="72" t="s">
        <v>171</v>
      </c>
    </row>
    <row r="22" spans="1:20" x14ac:dyDescent="0.25">
      <c r="D22" s="151"/>
    </row>
    <row r="24" spans="1:20" x14ac:dyDescent="0.25">
      <c r="C24" s="15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workbookViewId="0">
      <selection activeCell="I18" sqref="I18"/>
    </sheetView>
  </sheetViews>
  <sheetFormatPr defaultColWidth="11.42578125" defaultRowHeight="12.75" x14ac:dyDescent="0.2"/>
  <sheetData>
    <row r="1" spans="1:13" x14ac:dyDescent="0.2">
      <c r="A1" t="s">
        <v>78</v>
      </c>
    </row>
    <row r="5" spans="1:13" x14ac:dyDescent="0.2">
      <c r="A5" t="s">
        <v>86</v>
      </c>
      <c r="H5" t="s">
        <v>87</v>
      </c>
    </row>
    <row r="7" spans="1:13" x14ac:dyDescent="0.2">
      <c r="A7" t="s">
        <v>79</v>
      </c>
    </row>
    <row r="9" spans="1:13" x14ac:dyDescent="0.2">
      <c r="A9" t="s">
        <v>85</v>
      </c>
    </row>
    <row r="10" spans="1:13" x14ac:dyDescent="0.2">
      <c r="A10" t="s">
        <v>80</v>
      </c>
    </row>
    <row r="11" spans="1:13" x14ac:dyDescent="0.2">
      <c r="A11" t="s">
        <v>81</v>
      </c>
    </row>
    <row r="13" spans="1:13" x14ac:dyDescent="0.2">
      <c r="A13" s="39" t="s">
        <v>82</v>
      </c>
      <c r="B13" t="e">
        <f>#N/A</f>
        <v>#REF!</v>
      </c>
      <c r="H13" s="39" t="s">
        <v>82</v>
      </c>
      <c r="I13" t="e">
        <f>#N/A</f>
        <v>#REF!</v>
      </c>
    </row>
    <row r="14" spans="1:13" x14ac:dyDescent="0.2">
      <c r="A14" s="39" t="s">
        <v>83</v>
      </c>
      <c r="B14" t="e">
        <f>#N/A</f>
        <v>#REF!</v>
      </c>
      <c r="H14" s="39" t="s">
        <v>83</v>
      </c>
      <c r="I14" t="e">
        <f>#N/A</f>
        <v>#REF!</v>
      </c>
    </row>
    <row r="15" spans="1:13" x14ac:dyDescent="0.2">
      <c r="A15" s="39" t="s">
        <v>84</v>
      </c>
      <c r="B15" t="e">
        <f>#N/A</f>
        <v>#REF!</v>
      </c>
      <c r="H15" s="39" t="s">
        <v>84</v>
      </c>
      <c r="I15" t="e">
        <f>#N/A</f>
        <v>#REF!</v>
      </c>
    </row>
    <row r="16" spans="1:13" x14ac:dyDescent="0.2">
      <c r="B16" t="s">
        <v>88</v>
      </c>
      <c r="C16" t="s">
        <v>89</v>
      </c>
      <c r="D16" t="s">
        <v>90</v>
      </c>
      <c r="E16" t="s">
        <v>93</v>
      </c>
      <c r="I16" t="s">
        <v>88</v>
      </c>
      <c r="J16" s="48" t="s">
        <v>100</v>
      </c>
      <c r="K16" t="s">
        <v>90</v>
      </c>
      <c r="L16" t="s">
        <v>93</v>
      </c>
      <c r="M16" s="48" t="s">
        <v>98</v>
      </c>
    </row>
    <row r="17" spans="1:13" x14ac:dyDescent="0.2">
      <c r="A17" s="39" t="s">
        <v>91</v>
      </c>
      <c r="B17" s="46" t="e">
        <f>ROUNDUP($B$33,1)</f>
        <v>#REF!</v>
      </c>
      <c r="C17" t="e">
        <f>B17/2</f>
        <v>#REF!</v>
      </c>
      <c r="D17" t="e">
        <f>(B17/2)-0.15</f>
        <v>#REF!</v>
      </c>
      <c r="H17" s="39" t="s">
        <v>91</v>
      </c>
      <c r="I17" s="46" t="e">
        <f>ROUNDUP($B$33,1)</f>
        <v>#REF!</v>
      </c>
      <c r="J17" t="e">
        <f>I17/2</f>
        <v>#REF!</v>
      </c>
      <c r="K17" t="e">
        <f>(I17/2)-0.15</f>
        <v>#REF!</v>
      </c>
      <c r="L17" s="46" t="e">
        <f>I17</f>
        <v>#REF!</v>
      </c>
      <c r="M17" t="e">
        <f>#N/A</f>
        <v>#REF!</v>
      </c>
    </row>
    <row r="18" spans="1:13" x14ac:dyDescent="0.2">
      <c r="A18" s="39" t="s">
        <v>92</v>
      </c>
      <c r="B18" t="e">
        <f>IF(B17&lt;0.45,0.45,B17)</f>
        <v>#REF!</v>
      </c>
      <c r="C18" t="e">
        <f>IF(C17&lt;0.45,0.45,C17)</f>
        <v>#REF!</v>
      </c>
      <c r="D18" t="e">
        <f>IF(D17&lt;0.3,0.3,D17)</f>
        <v>#REF!</v>
      </c>
      <c r="H18" s="39" t="s">
        <v>99</v>
      </c>
      <c r="I18" s="45" t="e">
        <f>#N/A</f>
        <v>#REF!</v>
      </c>
      <c r="J18" t="e">
        <f>IF(I17&gt;2.4,1.2,IF(I17&lt;0.9,0.45,I17/2))</f>
        <v>#REF!</v>
      </c>
      <c r="K18" t="e">
        <f>K17</f>
        <v>#REF!</v>
      </c>
      <c r="L18" s="45" t="e">
        <f>I18</f>
        <v>#REF!</v>
      </c>
      <c r="M18" t="e">
        <f>#N/A</f>
        <v>#REF!</v>
      </c>
    </row>
    <row r="19" spans="1:13" x14ac:dyDescent="0.2">
      <c r="A19" s="39"/>
      <c r="H19" s="39"/>
    </row>
    <row r="20" spans="1:13" x14ac:dyDescent="0.2">
      <c r="A20" s="39"/>
      <c r="B20" t="s">
        <v>88</v>
      </c>
      <c r="C20" t="s">
        <v>89</v>
      </c>
      <c r="D20" t="s">
        <v>90</v>
      </c>
      <c r="E20" t="s">
        <v>93</v>
      </c>
      <c r="H20" s="39" t="s">
        <v>92</v>
      </c>
      <c r="I20" t="e">
        <f>IF(I18&lt;0.45,0.45,I18)</f>
        <v>#REF!</v>
      </c>
      <c r="J20" t="e">
        <f>IF(J18&lt;0.45,0.45,J18)</f>
        <v>#REF!</v>
      </c>
      <c r="K20" t="e">
        <f>IF(K18&lt;0.3,0.3,K18)</f>
        <v>#REF!</v>
      </c>
      <c r="L20" t="e">
        <f>I20</f>
        <v>#REF!</v>
      </c>
    </row>
    <row r="21" spans="1:13" x14ac:dyDescent="0.2">
      <c r="A21" s="47" t="s">
        <v>97</v>
      </c>
      <c r="B21" t="e">
        <f>#N/A</f>
        <v>#REF!</v>
      </c>
      <c r="C21" t="e">
        <f>#N/A</f>
        <v>#REF!</v>
      </c>
      <c r="D21" t="e">
        <f>#N/A</f>
        <v>#REF!</v>
      </c>
      <c r="E21" t="e">
        <f>#N/A</f>
        <v>#REF!</v>
      </c>
      <c r="H21" s="39"/>
    </row>
    <row r="22" spans="1:13" x14ac:dyDescent="0.2">
      <c r="A22" s="39"/>
      <c r="H22" s="39"/>
    </row>
    <row r="25" spans="1:13" x14ac:dyDescent="0.2">
      <c r="A25" t="s">
        <v>77</v>
      </c>
    </row>
    <row r="26" spans="1:13" x14ac:dyDescent="0.2">
      <c r="A26" t="s">
        <v>76</v>
      </c>
    </row>
    <row r="27" spans="1:13" x14ac:dyDescent="0.2">
      <c r="A27" s="39" t="s">
        <v>75</v>
      </c>
      <c r="B27" s="42" t="e">
        <v>#REF!</v>
      </c>
    </row>
    <row r="28" spans="1:13" x14ac:dyDescent="0.2">
      <c r="A28" s="39" t="s">
        <v>74</v>
      </c>
      <c r="B28" s="42" t="e">
        <v>#REF!</v>
      </c>
    </row>
    <row r="29" spans="1:13" x14ac:dyDescent="0.2">
      <c r="A29" s="39" t="s">
        <v>73</v>
      </c>
      <c r="B29" s="42" t="e">
        <v>#REF!</v>
      </c>
    </row>
    <row r="31" spans="1:13" x14ac:dyDescent="0.2">
      <c r="A31" s="41" t="s">
        <v>72</v>
      </c>
      <c r="B31" t="e">
        <f>(B28^2-4*B27*B29)^0.5</f>
        <v>#REF!</v>
      </c>
    </row>
    <row r="32" spans="1:13" x14ac:dyDescent="0.2">
      <c r="A32" s="40" t="s">
        <v>71</v>
      </c>
      <c r="C32" t="s">
        <v>70</v>
      </c>
      <c r="D32" t="s">
        <v>69</v>
      </c>
    </row>
    <row r="33" spans="1:4" x14ac:dyDescent="0.2">
      <c r="A33" s="39" t="s">
        <v>68</v>
      </c>
      <c r="B33" t="e">
        <f>(-1*B28+B31)/(2*B27)</f>
        <v>#REF!</v>
      </c>
      <c r="C33" t="e">
        <f>1/(1/40+1/B33)</f>
        <v>#REF!</v>
      </c>
      <c r="D33" t="e">
        <f>1/(0.225-1/C33)</f>
        <v>#REF!</v>
      </c>
    </row>
    <row r="34" spans="1:4" x14ac:dyDescent="0.2">
      <c r="A34" s="39" t="s">
        <v>67</v>
      </c>
      <c r="B34">
        <v>26</v>
      </c>
      <c r="C34">
        <f>1/(1/40+1/B34)</f>
        <v>15.757575757575758</v>
      </c>
      <c r="D34">
        <f>1/(0.225-1/C34)</f>
        <v>6.1904761904761898</v>
      </c>
    </row>
    <row r="35" spans="1:4" x14ac:dyDescent="0.2">
      <c r="A35" s="39" t="s">
        <v>66</v>
      </c>
      <c r="B35" s="37" t="s">
        <v>64</v>
      </c>
      <c r="C35" s="37" t="s">
        <v>63</v>
      </c>
    </row>
    <row r="36" spans="1:4" x14ac:dyDescent="0.2">
      <c r="A36" s="39"/>
      <c r="B36" t="e">
        <f>-B28/(2*B27)</f>
        <v>#REF!</v>
      </c>
      <c r="C36" t="e">
        <f>B$27*B36^2+B$28*B36+B$29</f>
        <v>#REF!</v>
      </c>
    </row>
    <row r="37" spans="1:4" x14ac:dyDescent="0.2">
      <c r="A37" s="39"/>
    </row>
    <row r="38" spans="1:4" x14ac:dyDescent="0.2">
      <c r="A38" s="291"/>
      <c r="B38" s="291"/>
      <c r="C38" s="291"/>
      <c r="D38" s="38" t="e">
        <f>(B34-B33)/100</f>
        <v>#REF!</v>
      </c>
    </row>
    <row r="39" spans="1:4" x14ac:dyDescent="0.2">
      <c r="A39" t="s">
        <v>65</v>
      </c>
    </row>
    <row r="40" spans="1:4" x14ac:dyDescent="0.2">
      <c r="B40" s="37" t="s">
        <v>64</v>
      </c>
      <c r="C40" s="37" t="s">
        <v>63</v>
      </c>
    </row>
    <row r="41" spans="1:4" x14ac:dyDescent="0.2">
      <c r="B41" t="e">
        <f>B33-20*D38</f>
        <v>#REF!</v>
      </c>
      <c r="C41" t="e">
        <f t="shared" ref="C41:C72" si="0">B$27*B41^2+B$28*B41+B$29</f>
        <v>#REF!</v>
      </c>
    </row>
    <row r="42" spans="1:4" x14ac:dyDescent="0.2">
      <c r="B42" t="e">
        <f t="shared" ref="B42:B73" si="1">B41+D$38</f>
        <v>#REF!</v>
      </c>
      <c r="C42" t="e">
        <f t="shared" si="0"/>
        <v>#REF!</v>
      </c>
    </row>
    <row r="43" spans="1:4" x14ac:dyDescent="0.2">
      <c r="B43" t="e">
        <f t="shared" si="1"/>
        <v>#REF!</v>
      </c>
      <c r="C43" t="e">
        <f t="shared" si="0"/>
        <v>#REF!</v>
      </c>
    </row>
    <row r="44" spans="1:4" x14ac:dyDescent="0.2">
      <c r="B44" t="e">
        <f t="shared" si="1"/>
        <v>#REF!</v>
      </c>
      <c r="C44" t="e">
        <f t="shared" si="0"/>
        <v>#REF!</v>
      </c>
    </row>
    <row r="45" spans="1:4" x14ac:dyDescent="0.2">
      <c r="B45" t="e">
        <f t="shared" si="1"/>
        <v>#REF!</v>
      </c>
      <c r="C45" t="e">
        <f t="shared" si="0"/>
        <v>#REF!</v>
      </c>
    </row>
    <row r="46" spans="1:4" x14ac:dyDescent="0.2">
      <c r="B46" t="e">
        <f t="shared" si="1"/>
        <v>#REF!</v>
      </c>
      <c r="C46" t="e">
        <f t="shared" si="0"/>
        <v>#REF!</v>
      </c>
    </row>
    <row r="47" spans="1:4" x14ac:dyDescent="0.2">
      <c r="B47" t="e">
        <f t="shared" si="1"/>
        <v>#REF!</v>
      </c>
      <c r="C47" t="e">
        <f t="shared" si="0"/>
        <v>#REF!</v>
      </c>
    </row>
    <row r="48" spans="1:4" x14ac:dyDescent="0.2">
      <c r="B48" t="e">
        <f t="shared" si="1"/>
        <v>#REF!</v>
      </c>
      <c r="C48" t="e">
        <f t="shared" si="0"/>
        <v>#REF!</v>
      </c>
    </row>
    <row r="49" spans="2:3" x14ac:dyDescent="0.2">
      <c r="B49" t="e">
        <f t="shared" si="1"/>
        <v>#REF!</v>
      </c>
      <c r="C49" t="e">
        <f t="shared" si="0"/>
        <v>#REF!</v>
      </c>
    </row>
    <row r="50" spans="2:3" x14ac:dyDescent="0.2">
      <c r="B50" t="e">
        <f t="shared" si="1"/>
        <v>#REF!</v>
      </c>
      <c r="C50" t="e">
        <f t="shared" si="0"/>
        <v>#REF!</v>
      </c>
    </row>
    <row r="51" spans="2:3" x14ac:dyDescent="0.2">
      <c r="B51" t="e">
        <f t="shared" si="1"/>
        <v>#REF!</v>
      </c>
      <c r="C51" t="e">
        <f t="shared" si="0"/>
        <v>#REF!</v>
      </c>
    </row>
    <row r="52" spans="2:3" x14ac:dyDescent="0.2">
      <c r="B52" t="e">
        <f t="shared" si="1"/>
        <v>#REF!</v>
      </c>
      <c r="C52" t="e">
        <f t="shared" si="0"/>
        <v>#REF!</v>
      </c>
    </row>
    <row r="53" spans="2:3" x14ac:dyDescent="0.2">
      <c r="B53" t="e">
        <f t="shared" si="1"/>
        <v>#REF!</v>
      </c>
      <c r="C53" t="e">
        <f t="shared" si="0"/>
        <v>#REF!</v>
      </c>
    </row>
    <row r="54" spans="2:3" x14ac:dyDescent="0.2">
      <c r="B54" t="e">
        <f t="shared" si="1"/>
        <v>#REF!</v>
      </c>
      <c r="C54" t="e">
        <f t="shared" si="0"/>
        <v>#REF!</v>
      </c>
    </row>
    <row r="55" spans="2:3" x14ac:dyDescent="0.2">
      <c r="B55" t="e">
        <f t="shared" si="1"/>
        <v>#REF!</v>
      </c>
      <c r="C55" t="e">
        <f t="shared" si="0"/>
        <v>#REF!</v>
      </c>
    </row>
    <row r="56" spans="2:3" x14ac:dyDescent="0.2">
      <c r="B56" t="e">
        <f t="shared" si="1"/>
        <v>#REF!</v>
      </c>
      <c r="C56" t="e">
        <f t="shared" si="0"/>
        <v>#REF!</v>
      </c>
    </row>
    <row r="57" spans="2:3" x14ac:dyDescent="0.2">
      <c r="B57" t="e">
        <f t="shared" si="1"/>
        <v>#REF!</v>
      </c>
      <c r="C57" t="e">
        <f t="shared" si="0"/>
        <v>#REF!</v>
      </c>
    </row>
    <row r="58" spans="2:3" x14ac:dyDescent="0.2">
      <c r="B58" t="e">
        <f t="shared" si="1"/>
        <v>#REF!</v>
      </c>
      <c r="C58" t="e">
        <f t="shared" si="0"/>
        <v>#REF!</v>
      </c>
    </row>
    <row r="59" spans="2:3" x14ac:dyDescent="0.2">
      <c r="B59" t="e">
        <f t="shared" si="1"/>
        <v>#REF!</v>
      </c>
      <c r="C59" t="e">
        <f t="shared" si="0"/>
        <v>#REF!</v>
      </c>
    </row>
    <row r="60" spans="2:3" x14ac:dyDescent="0.2">
      <c r="B60" t="e">
        <f t="shared" si="1"/>
        <v>#REF!</v>
      </c>
      <c r="C60" t="e">
        <f t="shared" si="0"/>
        <v>#REF!</v>
      </c>
    </row>
    <row r="61" spans="2:3" x14ac:dyDescent="0.2">
      <c r="B61" t="e">
        <f t="shared" si="1"/>
        <v>#REF!</v>
      </c>
      <c r="C61" t="e">
        <f t="shared" si="0"/>
        <v>#REF!</v>
      </c>
    </row>
    <row r="62" spans="2:3" x14ac:dyDescent="0.2">
      <c r="B62" t="e">
        <f t="shared" si="1"/>
        <v>#REF!</v>
      </c>
      <c r="C62" t="e">
        <f t="shared" si="0"/>
        <v>#REF!</v>
      </c>
    </row>
    <row r="63" spans="2:3" x14ac:dyDescent="0.2">
      <c r="B63" t="e">
        <f t="shared" si="1"/>
        <v>#REF!</v>
      </c>
      <c r="C63" t="e">
        <f t="shared" si="0"/>
        <v>#REF!</v>
      </c>
    </row>
    <row r="64" spans="2:3" x14ac:dyDescent="0.2">
      <c r="B64" t="e">
        <f t="shared" si="1"/>
        <v>#REF!</v>
      </c>
      <c r="C64" t="e">
        <f t="shared" si="0"/>
        <v>#REF!</v>
      </c>
    </row>
    <row r="65" spans="2:3" x14ac:dyDescent="0.2">
      <c r="B65" t="e">
        <f t="shared" si="1"/>
        <v>#REF!</v>
      </c>
      <c r="C65" t="e">
        <f t="shared" si="0"/>
        <v>#REF!</v>
      </c>
    </row>
    <row r="66" spans="2:3" x14ac:dyDescent="0.2">
      <c r="B66" t="e">
        <f t="shared" si="1"/>
        <v>#REF!</v>
      </c>
      <c r="C66" t="e">
        <f t="shared" si="0"/>
        <v>#REF!</v>
      </c>
    </row>
    <row r="67" spans="2:3" x14ac:dyDescent="0.2">
      <c r="B67" t="e">
        <f t="shared" si="1"/>
        <v>#REF!</v>
      </c>
      <c r="C67" t="e">
        <f t="shared" si="0"/>
        <v>#REF!</v>
      </c>
    </row>
    <row r="68" spans="2:3" x14ac:dyDescent="0.2">
      <c r="B68" t="e">
        <f t="shared" si="1"/>
        <v>#REF!</v>
      </c>
      <c r="C68" t="e">
        <f t="shared" si="0"/>
        <v>#REF!</v>
      </c>
    </row>
    <row r="69" spans="2:3" x14ac:dyDescent="0.2">
      <c r="B69" t="e">
        <f t="shared" si="1"/>
        <v>#REF!</v>
      </c>
      <c r="C69" t="e">
        <f t="shared" si="0"/>
        <v>#REF!</v>
      </c>
    </row>
    <row r="70" spans="2:3" x14ac:dyDescent="0.2">
      <c r="B70" t="e">
        <f t="shared" si="1"/>
        <v>#REF!</v>
      </c>
      <c r="C70" t="e">
        <f t="shared" si="0"/>
        <v>#REF!</v>
      </c>
    </row>
    <row r="71" spans="2:3" x14ac:dyDescent="0.2">
      <c r="B71" t="e">
        <f t="shared" si="1"/>
        <v>#REF!</v>
      </c>
      <c r="C71" t="e">
        <f t="shared" si="0"/>
        <v>#REF!</v>
      </c>
    </row>
    <row r="72" spans="2:3" x14ac:dyDescent="0.2">
      <c r="B72" t="e">
        <f t="shared" si="1"/>
        <v>#REF!</v>
      </c>
      <c r="C72" t="e">
        <f t="shared" si="0"/>
        <v>#REF!</v>
      </c>
    </row>
    <row r="73" spans="2:3" x14ac:dyDescent="0.2">
      <c r="B73" t="e">
        <f t="shared" si="1"/>
        <v>#REF!</v>
      </c>
      <c r="C73" t="e">
        <f t="shared" ref="C73:C104" si="2">B$27*B73^2+B$28*B73+B$29</f>
        <v>#REF!</v>
      </c>
    </row>
    <row r="74" spans="2:3" x14ac:dyDescent="0.2">
      <c r="B74" t="e">
        <f t="shared" ref="B74:B105" si="3">B73+D$38</f>
        <v>#REF!</v>
      </c>
      <c r="C74" t="e">
        <f t="shared" si="2"/>
        <v>#REF!</v>
      </c>
    </row>
    <row r="75" spans="2:3" x14ac:dyDescent="0.2">
      <c r="B75" t="e">
        <f t="shared" si="3"/>
        <v>#REF!</v>
      </c>
      <c r="C75" t="e">
        <f t="shared" si="2"/>
        <v>#REF!</v>
      </c>
    </row>
    <row r="76" spans="2:3" x14ac:dyDescent="0.2">
      <c r="B76" t="e">
        <f t="shared" si="3"/>
        <v>#REF!</v>
      </c>
      <c r="C76" t="e">
        <f t="shared" si="2"/>
        <v>#REF!</v>
      </c>
    </row>
    <row r="77" spans="2:3" x14ac:dyDescent="0.2">
      <c r="B77" t="e">
        <f t="shared" si="3"/>
        <v>#REF!</v>
      </c>
      <c r="C77" t="e">
        <f t="shared" si="2"/>
        <v>#REF!</v>
      </c>
    </row>
    <row r="78" spans="2:3" x14ac:dyDescent="0.2">
      <c r="B78" t="e">
        <f t="shared" si="3"/>
        <v>#REF!</v>
      </c>
      <c r="C78" t="e">
        <f t="shared" si="2"/>
        <v>#REF!</v>
      </c>
    </row>
    <row r="79" spans="2:3" x14ac:dyDescent="0.2">
      <c r="B79" t="e">
        <f t="shared" si="3"/>
        <v>#REF!</v>
      </c>
      <c r="C79" t="e">
        <f t="shared" si="2"/>
        <v>#REF!</v>
      </c>
    </row>
    <row r="80" spans="2:3" x14ac:dyDescent="0.2">
      <c r="B80" t="e">
        <f t="shared" si="3"/>
        <v>#REF!</v>
      </c>
      <c r="C80" t="e">
        <f t="shared" si="2"/>
        <v>#REF!</v>
      </c>
    </row>
    <row r="81" spans="2:3" x14ac:dyDescent="0.2">
      <c r="B81" t="e">
        <f t="shared" si="3"/>
        <v>#REF!</v>
      </c>
      <c r="C81" t="e">
        <f t="shared" si="2"/>
        <v>#REF!</v>
      </c>
    </row>
    <row r="82" spans="2:3" x14ac:dyDescent="0.2">
      <c r="B82" t="e">
        <f t="shared" si="3"/>
        <v>#REF!</v>
      </c>
      <c r="C82" t="e">
        <f t="shared" si="2"/>
        <v>#REF!</v>
      </c>
    </row>
    <row r="83" spans="2:3" x14ac:dyDescent="0.2">
      <c r="B83" t="e">
        <f t="shared" si="3"/>
        <v>#REF!</v>
      </c>
      <c r="C83" t="e">
        <f t="shared" si="2"/>
        <v>#REF!</v>
      </c>
    </row>
    <row r="84" spans="2:3" x14ac:dyDescent="0.2">
      <c r="B84" t="e">
        <f t="shared" si="3"/>
        <v>#REF!</v>
      </c>
      <c r="C84" t="e">
        <f t="shared" si="2"/>
        <v>#REF!</v>
      </c>
    </row>
    <row r="85" spans="2:3" x14ac:dyDescent="0.2">
      <c r="B85" t="e">
        <f t="shared" si="3"/>
        <v>#REF!</v>
      </c>
      <c r="C85" t="e">
        <f t="shared" si="2"/>
        <v>#REF!</v>
      </c>
    </row>
    <row r="86" spans="2:3" x14ac:dyDescent="0.2">
      <c r="B86" t="e">
        <f t="shared" si="3"/>
        <v>#REF!</v>
      </c>
      <c r="C86" t="e">
        <f t="shared" si="2"/>
        <v>#REF!</v>
      </c>
    </row>
    <row r="87" spans="2:3" x14ac:dyDescent="0.2">
      <c r="B87" t="e">
        <f t="shared" si="3"/>
        <v>#REF!</v>
      </c>
      <c r="C87" t="e">
        <f t="shared" si="2"/>
        <v>#REF!</v>
      </c>
    </row>
    <row r="88" spans="2:3" x14ac:dyDescent="0.2">
      <c r="B88" t="e">
        <f t="shared" si="3"/>
        <v>#REF!</v>
      </c>
      <c r="C88" t="e">
        <f t="shared" si="2"/>
        <v>#REF!</v>
      </c>
    </row>
    <row r="89" spans="2:3" x14ac:dyDescent="0.2">
      <c r="B89" t="e">
        <f t="shared" si="3"/>
        <v>#REF!</v>
      </c>
      <c r="C89" t="e">
        <f t="shared" si="2"/>
        <v>#REF!</v>
      </c>
    </row>
    <row r="90" spans="2:3" x14ac:dyDescent="0.2">
      <c r="B90" t="e">
        <f t="shared" si="3"/>
        <v>#REF!</v>
      </c>
      <c r="C90" t="e">
        <f t="shared" si="2"/>
        <v>#REF!</v>
      </c>
    </row>
    <row r="91" spans="2:3" x14ac:dyDescent="0.2">
      <c r="B91" t="e">
        <f t="shared" si="3"/>
        <v>#REF!</v>
      </c>
      <c r="C91" t="e">
        <f t="shared" si="2"/>
        <v>#REF!</v>
      </c>
    </row>
    <row r="92" spans="2:3" x14ac:dyDescent="0.2">
      <c r="B92" t="e">
        <f t="shared" si="3"/>
        <v>#REF!</v>
      </c>
      <c r="C92" t="e">
        <f t="shared" si="2"/>
        <v>#REF!</v>
      </c>
    </row>
    <row r="93" spans="2:3" x14ac:dyDescent="0.2">
      <c r="B93" t="e">
        <f t="shared" si="3"/>
        <v>#REF!</v>
      </c>
      <c r="C93" t="e">
        <f t="shared" si="2"/>
        <v>#REF!</v>
      </c>
    </row>
    <row r="94" spans="2:3" x14ac:dyDescent="0.2">
      <c r="B94" t="e">
        <f t="shared" si="3"/>
        <v>#REF!</v>
      </c>
      <c r="C94" t="e">
        <f t="shared" si="2"/>
        <v>#REF!</v>
      </c>
    </row>
    <row r="95" spans="2:3" x14ac:dyDescent="0.2">
      <c r="B95" t="e">
        <f t="shared" si="3"/>
        <v>#REF!</v>
      </c>
      <c r="C95" t="e">
        <f t="shared" si="2"/>
        <v>#REF!</v>
      </c>
    </row>
    <row r="96" spans="2:3" x14ac:dyDescent="0.2">
      <c r="B96" t="e">
        <f t="shared" si="3"/>
        <v>#REF!</v>
      </c>
      <c r="C96" t="e">
        <f t="shared" si="2"/>
        <v>#REF!</v>
      </c>
    </row>
    <row r="97" spans="2:3" x14ac:dyDescent="0.2">
      <c r="B97" t="e">
        <f t="shared" si="3"/>
        <v>#REF!</v>
      </c>
      <c r="C97" t="e">
        <f t="shared" si="2"/>
        <v>#REF!</v>
      </c>
    </row>
    <row r="98" spans="2:3" x14ac:dyDescent="0.2">
      <c r="B98" t="e">
        <f t="shared" si="3"/>
        <v>#REF!</v>
      </c>
      <c r="C98" t="e">
        <f t="shared" si="2"/>
        <v>#REF!</v>
      </c>
    </row>
    <row r="99" spans="2:3" x14ac:dyDescent="0.2">
      <c r="B99" t="e">
        <f t="shared" si="3"/>
        <v>#REF!</v>
      </c>
      <c r="C99" t="e">
        <f t="shared" si="2"/>
        <v>#REF!</v>
      </c>
    </row>
    <row r="100" spans="2:3" x14ac:dyDescent="0.2">
      <c r="B100" t="e">
        <f t="shared" si="3"/>
        <v>#REF!</v>
      </c>
      <c r="C100" t="e">
        <f t="shared" si="2"/>
        <v>#REF!</v>
      </c>
    </row>
    <row r="101" spans="2:3" x14ac:dyDescent="0.2">
      <c r="B101" t="e">
        <f t="shared" si="3"/>
        <v>#REF!</v>
      </c>
      <c r="C101" t="e">
        <f t="shared" si="2"/>
        <v>#REF!</v>
      </c>
    </row>
    <row r="102" spans="2:3" x14ac:dyDescent="0.2">
      <c r="B102" t="e">
        <f t="shared" si="3"/>
        <v>#REF!</v>
      </c>
      <c r="C102" t="e">
        <f t="shared" si="2"/>
        <v>#REF!</v>
      </c>
    </row>
    <row r="103" spans="2:3" x14ac:dyDescent="0.2">
      <c r="B103" t="e">
        <f t="shared" si="3"/>
        <v>#REF!</v>
      </c>
      <c r="C103" t="e">
        <f t="shared" si="2"/>
        <v>#REF!</v>
      </c>
    </row>
    <row r="104" spans="2:3" x14ac:dyDescent="0.2">
      <c r="B104" t="e">
        <f t="shared" si="3"/>
        <v>#REF!</v>
      </c>
      <c r="C104" t="e">
        <f t="shared" si="2"/>
        <v>#REF!</v>
      </c>
    </row>
    <row r="105" spans="2:3" x14ac:dyDescent="0.2">
      <c r="B105" t="e">
        <f t="shared" si="3"/>
        <v>#REF!</v>
      </c>
      <c r="C105" t="e">
        <f t="shared" ref="C105:C136" si="4">B$27*B105^2+B$28*B105+B$29</f>
        <v>#REF!</v>
      </c>
    </row>
    <row r="106" spans="2:3" x14ac:dyDescent="0.2">
      <c r="B106" t="e">
        <f t="shared" ref="B106:B137" si="5">B105+D$38</f>
        <v>#REF!</v>
      </c>
      <c r="C106" t="e">
        <f t="shared" si="4"/>
        <v>#REF!</v>
      </c>
    </row>
    <row r="107" spans="2:3" x14ac:dyDescent="0.2">
      <c r="B107" t="e">
        <f t="shared" si="5"/>
        <v>#REF!</v>
      </c>
      <c r="C107" t="e">
        <f t="shared" si="4"/>
        <v>#REF!</v>
      </c>
    </row>
    <row r="108" spans="2:3" x14ac:dyDescent="0.2">
      <c r="B108" t="e">
        <f t="shared" si="5"/>
        <v>#REF!</v>
      </c>
      <c r="C108" t="e">
        <f t="shared" si="4"/>
        <v>#REF!</v>
      </c>
    </row>
    <row r="109" spans="2:3" x14ac:dyDescent="0.2">
      <c r="B109" t="e">
        <f t="shared" si="5"/>
        <v>#REF!</v>
      </c>
      <c r="C109" t="e">
        <f t="shared" si="4"/>
        <v>#REF!</v>
      </c>
    </row>
    <row r="110" spans="2:3" x14ac:dyDescent="0.2">
      <c r="B110" t="e">
        <f t="shared" si="5"/>
        <v>#REF!</v>
      </c>
      <c r="C110" t="e">
        <f t="shared" si="4"/>
        <v>#REF!</v>
      </c>
    </row>
    <row r="111" spans="2:3" x14ac:dyDescent="0.2">
      <c r="B111" t="e">
        <f t="shared" si="5"/>
        <v>#REF!</v>
      </c>
      <c r="C111" t="e">
        <f t="shared" si="4"/>
        <v>#REF!</v>
      </c>
    </row>
    <row r="112" spans="2:3" x14ac:dyDescent="0.2">
      <c r="B112" t="e">
        <f t="shared" si="5"/>
        <v>#REF!</v>
      </c>
      <c r="C112" t="e">
        <f t="shared" si="4"/>
        <v>#REF!</v>
      </c>
    </row>
    <row r="113" spans="2:3" x14ac:dyDescent="0.2">
      <c r="B113" t="e">
        <f t="shared" si="5"/>
        <v>#REF!</v>
      </c>
      <c r="C113" t="e">
        <f t="shared" si="4"/>
        <v>#REF!</v>
      </c>
    </row>
    <row r="114" spans="2:3" x14ac:dyDescent="0.2">
      <c r="B114" t="e">
        <f t="shared" si="5"/>
        <v>#REF!</v>
      </c>
      <c r="C114" t="e">
        <f t="shared" si="4"/>
        <v>#REF!</v>
      </c>
    </row>
    <row r="115" spans="2:3" x14ac:dyDescent="0.2">
      <c r="B115" t="e">
        <f t="shared" si="5"/>
        <v>#REF!</v>
      </c>
      <c r="C115" t="e">
        <f t="shared" si="4"/>
        <v>#REF!</v>
      </c>
    </row>
    <row r="116" spans="2:3" x14ac:dyDescent="0.2">
      <c r="B116" t="e">
        <f t="shared" si="5"/>
        <v>#REF!</v>
      </c>
      <c r="C116" t="e">
        <f t="shared" si="4"/>
        <v>#REF!</v>
      </c>
    </row>
    <row r="117" spans="2:3" x14ac:dyDescent="0.2">
      <c r="B117" t="e">
        <f t="shared" si="5"/>
        <v>#REF!</v>
      </c>
      <c r="C117" t="e">
        <f t="shared" si="4"/>
        <v>#REF!</v>
      </c>
    </row>
    <row r="118" spans="2:3" x14ac:dyDescent="0.2">
      <c r="B118" t="e">
        <f t="shared" si="5"/>
        <v>#REF!</v>
      </c>
      <c r="C118" t="e">
        <f t="shared" si="4"/>
        <v>#REF!</v>
      </c>
    </row>
    <row r="119" spans="2:3" x14ac:dyDescent="0.2">
      <c r="B119" t="e">
        <f t="shared" si="5"/>
        <v>#REF!</v>
      </c>
      <c r="C119" t="e">
        <f t="shared" si="4"/>
        <v>#REF!</v>
      </c>
    </row>
    <row r="120" spans="2:3" x14ac:dyDescent="0.2">
      <c r="B120" t="e">
        <f t="shared" si="5"/>
        <v>#REF!</v>
      </c>
      <c r="C120" t="e">
        <f t="shared" si="4"/>
        <v>#REF!</v>
      </c>
    </row>
    <row r="121" spans="2:3" x14ac:dyDescent="0.2">
      <c r="B121" t="e">
        <f t="shared" si="5"/>
        <v>#REF!</v>
      </c>
      <c r="C121" t="e">
        <f t="shared" si="4"/>
        <v>#REF!</v>
      </c>
    </row>
    <row r="122" spans="2:3" x14ac:dyDescent="0.2">
      <c r="B122" t="e">
        <f t="shared" si="5"/>
        <v>#REF!</v>
      </c>
      <c r="C122" t="e">
        <f t="shared" si="4"/>
        <v>#REF!</v>
      </c>
    </row>
    <row r="123" spans="2:3" x14ac:dyDescent="0.2">
      <c r="B123" t="e">
        <f t="shared" si="5"/>
        <v>#REF!</v>
      </c>
      <c r="C123" t="e">
        <f t="shared" si="4"/>
        <v>#REF!</v>
      </c>
    </row>
    <row r="124" spans="2:3" x14ac:dyDescent="0.2">
      <c r="B124" t="e">
        <f t="shared" si="5"/>
        <v>#REF!</v>
      </c>
      <c r="C124" t="e">
        <f t="shared" si="4"/>
        <v>#REF!</v>
      </c>
    </row>
    <row r="125" spans="2:3" x14ac:dyDescent="0.2">
      <c r="B125" t="e">
        <f t="shared" si="5"/>
        <v>#REF!</v>
      </c>
      <c r="C125" t="e">
        <f t="shared" si="4"/>
        <v>#REF!</v>
      </c>
    </row>
    <row r="126" spans="2:3" x14ac:dyDescent="0.2">
      <c r="B126" t="e">
        <f t="shared" si="5"/>
        <v>#REF!</v>
      </c>
      <c r="C126" t="e">
        <f t="shared" si="4"/>
        <v>#REF!</v>
      </c>
    </row>
    <row r="127" spans="2:3" x14ac:dyDescent="0.2">
      <c r="B127" t="e">
        <f t="shared" si="5"/>
        <v>#REF!</v>
      </c>
      <c r="C127" t="e">
        <f t="shared" si="4"/>
        <v>#REF!</v>
      </c>
    </row>
    <row r="128" spans="2:3" x14ac:dyDescent="0.2">
      <c r="B128" t="e">
        <f t="shared" si="5"/>
        <v>#REF!</v>
      </c>
      <c r="C128" t="e">
        <f t="shared" si="4"/>
        <v>#REF!</v>
      </c>
    </row>
    <row r="129" spans="2:3" x14ac:dyDescent="0.2">
      <c r="B129" t="e">
        <f t="shared" si="5"/>
        <v>#REF!</v>
      </c>
      <c r="C129" t="e">
        <f t="shared" si="4"/>
        <v>#REF!</v>
      </c>
    </row>
    <row r="130" spans="2:3" x14ac:dyDescent="0.2">
      <c r="B130" t="e">
        <f t="shared" si="5"/>
        <v>#REF!</v>
      </c>
      <c r="C130" t="e">
        <f t="shared" si="4"/>
        <v>#REF!</v>
      </c>
    </row>
    <row r="131" spans="2:3" x14ac:dyDescent="0.2">
      <c r="B131" t="e">
        <f t="shared" si="5"/>
        <v>#REF!</v>
      </c>
      <c r="C131" t="e">
        <f t="shared" si="4"/>
        <v>#REF!</v>
      </c>
    </row>
    <row r="132" spans="2:3" x14ac:dyDescent="0.2">
      <c r="B132" t="e">
        <f t="shared" si="5"/>
        <v>#REF!</v>
      </c>
      <c r="C132" t="e">
        <f t="shared" si="4"/>
        <v>#REF!</v>
      </c>
    </row>
    <row r="133" spans="2:3" x14ac:dyDescent="0.2">
      <c r="B133" t="e">
        <f t="shared" si="5"/>
        <v>#REF!</v>
      </c>
      <c r="C133" t="e">
        <f t="shared" si="4"/>
        <v>#REF!</v>
      </c>
    </row>
    <row r="134" spans="2:3" x14ac:dyDescent="0.2">
      <c r="B134" t="e">
        <f t="shared" si="5"/>
        <v>#REF!</v>
      </c>
      <c r="C134" t="e">
        <f t="shared" si="4"/>
        <v>#REF!</v>
      </c>
    </row>
    <row r="135" spans="2:3" x14ac:dyDescent="0.2">
      <c r="B135" t="e">
        <f t="shared" si="5"/>
        <v>#REF!</v>
      </c>
      <c r="C135" t="e">
        <f t="shared" si="4"/>
        <v>#REF!</v>
      </c>
    </row>
    <row r="136" spans="2:3" x14ac:dyDescent="0.2">
      <c r="B136" t="e">
        <f t="shared" si="5"/>
        <v>#REF!</v>
      </c>
      <c r="C136" t="e">
        <f t="shared" si="4"/>
        <v>#REF!</v>
      </c>
    </row>
    <row r="137" spans="2:3" x14ac:dyDescent="0.2">
      <c r="B137" t="e">
        <f t="shared" si="5"/>
        <v>#REF!</v>
      </c>
      <c r="C137" t="e">
        <f t="shared" ref="C137:C168" si="6">B$27*B137^2+B$28*B137+B$29</f>
        <v>#REF!</v>
      </c>
    </row>
    <row r="138" spans="2:3" x14ac:dyDescent="0.2">
      <c r="B138" t="e">
        <f t="shared" ref="B138:B169" si="7">B137+D$38</f>
        <v>#REF!</v>
      </c>
      <c r="C138" t="e">
        <f t="shared" si="6"/>
        <v>#REF!</v>
      </c>
    </row>
    <row r="139" spans="2:3" x14ac:dyDescent="0.2">
      <c r="B139" t="e">
        <f t="shared" si="7"/>
        <v>#REF!</v>
      </c>
      <c r="C139" t="e">
        <f t="shared" si="6"/>
        <v>#REF!</v>
      </c>
    </row>
    <row r="140" spans="2:3" x14ac:dyDescent="0.2">
      <c r="B140" t="e">
        <f t="shared" si="7"/>
        <v>#REF!</v>
      </c>
      <c r="C140" t="e">
        <f t="shared" si="6"/>
        <v>#REF!</v>
      </c>
    </row>
    <row r="141" spans="2:3" x14ac:dyDescent="0.2">
      <c r="B141" t="e">
        <f t="shared" si="7"/>
        <v>#REF!</v>
      </c>
      <c r="C141" t="e">
        <f t="shared" si="6"/>
        <v>#REF!</v>
      </c>
    </row>
    <row r="142" spans="2:3" x14ac:dyDescent="0.2">
      <c r="B142" t="e">
        <f t="shared" si="7"/>
        <v>#REF!</v>
      </c>
      <c r="C142" t="e">
        <f t="shared" si="6"/>
        <v>#REF!</v>
      </c>
    </row>
    <row r="143" spans="2:3" x14ac:dyDescent="0.2">
      <c r="B143" t="e">
        <f t="shared" si="7"/>
        <v>#REF!</v>
      </c>
      <c r="C143" t="e">
        <f t="shared" si="6"/>
        <v>#REF!</v>
      </c>
    </row>
    <row r="144" spans="2:3" x14ac:dyDescent="0.2">
      <c r="B144" t="e">
        <f t="shared" si="7"/>
        <v>#REF!</v>
      </c>
      <c r="C144" t="e">
        <f t="shared" si="6"/>
        <v>#REF!</v>
      </c>
    </row>
    <row r="145" spans="2:3" x14ac:dyDescent="0.2">
      <c r="B145" t="e">
        <f t="shared" si="7"/>
        <v>#REF!</v>
      </c>
      <c r="C145" t="e">
        <f t="shared" si="6"/>
        <v>#REF!</v>
      </c>
    </row>
    <row r="146" spans="2:3" x14ac:dyDescent="0.2">
      <c r="B146" t="e">
        <f t="shared" si="7"/>
        <v>#REF!</v>
      </c>
      <c r="C146" t="e">
        <f t="shared" si="6"/>
        <v>#REF!</v>
      </c>
    </row>
    <row r="147" spans="2:3" x14ac:dyDescent="0.2">
      <c r="B147" t="e">
        <f t="shared" si="7"/>
        <v>#REF!</v>
      </c>
      <c r="C147" t="e">
        <f t="shared" si="6"/>
        <v>#REF!</v>
      </c>
    </row>
    <row r="148" spans="2:3" x14ac:dyDescent="0.2">
      <c r="B148" t="e">
        <f t="shared" si="7"/>
        <v>#REF!</v>
      </c>
      <c r="C148" t="e">
        <f t="shared" si="6"/>
        <v>#REF!</v>
      </c>
    </row>
    <row r="149" spans="2:3" x14ac:dyDescent="0.2">
      <c r="B149" t="e">
        <f t="shared" si="7"/>
        <v>#REF!</v>
      </c>
      <c r="C149" t="e">
        <f t="shared" si="6"/>
        <v>#REF!</v>
      </c>
    </row>
    <row r="150" spans="2:3" x14ac:dyDescent="0.2">
      <c r="B150" t="e">
        <f t="shared" si="7"/>
        <v>#REF!</v>
      </c>
      <c r="C150" t="e">
        <f t="shared" si="6"/>
        <v>#REF!</v>
      </c>
    </row>
    <row r="151" spans="2:3" x14ac:dyDescent="0.2">
      <c r="B151" t="e">
        <f t="shared" si="7"/>
        <v>#REF!</v>
      </c>
      <c r="C151" t="e">
        <f t="shared" si="6"/>
        <v>#REF!</v>
      </c>
    </row>
    <row r="152" spans="2:3" x14ac:dyDescent="0.2">
      <c r="B152" t="e">
        <f t="shared" si="7"/>
        <v>#REF!</v>
      </c>
      <c r="C152" t="e">
        <f t="shared" si="6"/>
        <v>#REF!</v>
      </c>
    </row>
    <row r="153" spans="2:3" x14ac:dyDescent="0.2">
      <c r="B153" t="e">
        <f t="shared" si="7"/>
        <v>#REF!</v>
      </c>
      <c r="C153" t="e">
        <f t="shared" si="6"/>
        <v>#REF!</v>
      </c>
    </row>
    <row r="154" spans="2:3" x14ac:dyDescent="0.2">
      <c r="B154" t="e">
        <f t="shared" si="7"/>
        <v>#REF!</v>
      </c>
      <c r="C154" t="e">
        <f t="shared" si="6"/>
        <v>#REF!</v>
      </c>
    </row>
    <row r="155" spans="2:3" x14ac:dyDescent="0.2">
      <c r="B155" t="e">
        <f t="shared" si="7"/>
        <v>#REF!</v>
      </c>
      <c r="C155" t="e">
        <f t="shared" si="6"/>
        <v>#REF!</v>
      </c>
    </row>
    <row r="156" spans="2:3" x14ac:dyDescent="0.2">
      <c r="B156" t="e">
        <f t="shared" si="7"/>
        <v>#REF!</v>
      </c>
      <c r="C156" t="e">
        <f t="shared" si="6"/>
        <v>#REF!</v>
      </c>
    </row>
    <row r="157" spans="2:3" x14ac:dyDescent="0.2">
      <c r="B157" t="e">
        <f t="shared" si="7"/>
        <v>#REF!</v>
      </c>
      <c r="C157" t="e">
        <f t="shared" si="6"/>
        <v>#REF!</v>
      </c>
    </row>
    <row r="158" spans="2:3" x14ac:dyDescent="0.2">
      <c r="B158" t="e">
        <f t="shared" si="7"/>
        <v>#REF!</v>
      </c>
      <c r="C158" t="e">
        <f t="shared" si="6"/>
        <v>#REF!</v>
      </c>
    </row>
    <row r="159" spans="2:3" x14ac:dyDescent="0.2">
      <c r="B159" t="e">
        <f t="shared" si="7"/>
        <v>#REF!</v>
      </c>
      <c r="C159" t="e">
        <f t="shared" si="6"/>
        <v>#REF!</v>
      </c>
    </row>
    <row r="160" spans="2:3" x14ac:dyDescent="0.2">
      <c r="B160" t="e">
        <f t="shared" si="7"/>
        <v>#REF!</v>
      </c>
      <c r="C160" t="e">
        <f t="shared" si="6"/>
        <v>#REF!</v>
      </c>
    </row>
    <row r="161" spans="2:3" x14ac:dyDescent="0.2">
      <c r="B161" t="e">
        <f t="shared" si="7"/>
        <v>#REF!</v>
      </c>
      <c r="C161" t="e">
        <f t="shared" si="6"/>
        <v>#REF!</v>
      </c>
    </row>
    <row r="162" spans="2:3" x14ac:dyDescent="0.2">
      <c r="B162" t="e">
        <f t="shared" si="7"/>
        <v>#REF!</v>
      </c>
      <c r="C162" t="e">
        <f t="shared" si="6"/>
        <v>#REF!</v>
      </c>
    </row>
    <row r="163" spans="2:3" x14ac:dyDescent="0.2">
      <c r="B163" t="e">
        <f t="shared" si="7"/>
        <v>#REF!</v>
      </c>
      <c r="C163" t="e">
        <f t="shared" si="6"/>
        <v>#REF!</v>
      </c>
    </row>
    <row r="164" spans="2:3" x14ac:dyDescent="0.2">
      <c r="B164" t="e">
        <f t="shared" si="7"/>
        <v>#REF!</v>
      </c>
      <c r="C164" t="e">
        <f t="shared" si="6"/>
        <v>#REF!</v>
      </c>
    </row>
    <row r="165" spans="2:3" x14ac:dyDescent="0.2">
      <c r="B165" t="e">
        <f t="shared" si="7"/>
        <v>#REF!</v>
      </c>
      <c r="C165" t="e">
        <f t="shared" si="6"/>
        <v>#REF!</v>
      </c>
    </row>
    <row r="166" spans="2:3" x14ac:dyDescent="0.2">
      <c r="B166" t="e">
        <f t="shared" si="7"/>
        <v>#REF!</v>
      </c>
      <c r="C166" t="e">
        <f t="shared" si="6"/>
        <v>#REF!</v>
      </c>
    </row>
    <row r="167" spans="2:3" x14ac:dyDescent="0.2">
      <c r="B167" t="e">
        <f t="shared" si="7"/>
        <v>#REF!</v>
      </c>
      <c r="C167" t="e">
        <f t="shared" si="6"/>
        <v>#REF!</v>
      </c>
    </row>
    <row r="168" spans="2:3" x14ac:dyDescent="0.2">
      <c r="B168" t="e">
        <f t="shared" si="7"/>
        <v>#REF!</v>
      </c>
      <c r="C168" t="e">
        <f t="shared" si="6"/>
        <v>#REF!</v>
      </c>
    </row>
    <row r="169" spans="2:3" x14ac:dyDescent="0.2">
      <c r="B169" t="e">
        <f t="shared" si="7"/>
        <v>#REF!</v>
      </c>
      <c r="C169" t="e">
        <f t="shared" ref="C169:C181" si="8">B$27*B169^2+B$28*B169+B$29</f>
        <v>#REF!</v>
      </c>
    </row>
    <row r="170" spans="2:3" x14ac:dyDescent="0.2">
      <c r="B170" t="e">
        <f t="shared" ref="B170:B181" si="9">B169+D$38</f>
        <v>#REF!</v>
      </c>
      <c r="C170" t="e">
        <f t="shared" si="8"/>
        <v>#REF!</v>
      </c>
    </row>
    <row r="171" spans="2:3" x14ac:dyDescent="0.2">
      <c r="B171" t="e">
        <f t="shared" si="9"/>
        <v>#REF!</v>
      </c>
      <c r="C171" t="e">
        <f t="shared" si="8"/>
        <v>#REF!</v>
      </c>
    </row>
    <row r="172" spans="2:3" x14ac:dyDescent="0.2">
      <c r="B172" t="e">
        <f t="shared" si="9"/>
        <v>#REF!</v>
      </c>
      <c r="C172" t="e">
        <f t="shared" si="8"/>
        <v>#REF!</v>
      </c>
    </row>
    <row r="173" spans="2:3" x14ac:dyDescent="0.2">
      <c r="B173" t="e">
        <f t="shared" si="9"/>
        <v>#REF!</v>
      </c>
      <c r="C173" t="e">
        <f t="shared" si="8"/>
        <v>#REF!</v>
      </c>
    </row>
    <row r="174" spans="2:3" x14ac:dyDescent="0.2">
      <c r="B174" t="e">
        <f t="shared" si="9"/>
        <v>#REF!</v>
      </c>
      <c r="C174" t="e">
        <f t="shared" si="8"/>
        <v>#REF!</v>
      </c>
    </row>
    <row r="175" spans="2:3" x14ac:dyDescent="0.2">
      <c r="B175" t="e">
        <f t="shared" si="9"/>
        <v>#REF!</v>
      </c>
      <c r="C175" t="e">
        <f t="shared" si="8"/>
        <v>#REF!</v>
      </c>
    </row>
    <row r="176" spans="2:3" x14ac:dyDescent="0.2">
      <c r="B176" t="e">
        <f t="shared" si="9"/>
        <v>#REF!</v>
      </c>
      <c r="C176" t="e">
        <f t="shared" si="8"/>
        <v>#REF!</v>
      </c>
    </row>
    <row r="177" spans="2:3" x14ac:dyDescent="0.2">
      <c r="B177" t="e">
        <f t="shared" si="9"/>
        <v>#REF!</v>
      </c>
      <c r="C177" t="e">
        <f t="shared" si="8"/>
        <v>#REF!</v>
      </c>
    </row>
    <row r="178" spans="2:3" x14ac:dyDescent="0.2">
      <c r="B178" t="e">
        <f t="shared" si="9"/>
        <v>#REF!</v>
      </c>
      <c r="C178" t="e">
        <f t="shared" si="8"/>
        <v>#REF!</v>
      </c>
    </row>
    <row r="179" spans="2:3" x14ac:dyDescent="0.2">
      <c r="B179" t="e">
        <f t="shared" si="9"/>
        <v>#REF!</v>
      </c>
      <c r="C179" t="e">
        <f t="shared" si="8"/>
        <v>#REF!</v>
      </c>
    </row>
    <row r="180" spans="2:3" x14ac:dyDescent="0.2">
      <c r="B180" t="e">
        <f t="shared" si="9"/>
        <v>#REF!</v>
      </c>
      <c r="C180" t="e">
        <f t="shared" si="8"/>
        <v>#REF!</v>
      </c>
    </row>
    <row r="181" spans="2:3" x14ac:dyDescent="0.2">
      <c r="B181" t="e">
        <f t="shared" si="9"/>
        <v>#REF!</v>
      </c>
      <c r="C181" t="e">
        <f t="shared" si="8"/>
        <v>#REF!</v>
      </c>
    </row>
  </sheetData>
  <sheetProtection password="EA24" sheet="1"/>
  <protectedRanges>
    <protectedRange sqref="B27:B29" name="Plage1"/>
  </protectedRanges>
  <mergeCells count="1">
    <mergeCell ref="A38:C38"/>
  </mergeCells>
  <pageMargins left="0.78740157499999996" right="0.78740157499999996" top="0.984251969" bottom="0.984251969" header="0.4921259845" footer="0.492125984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showGridLines="0" workbookViewId="0">
      <selection activeCell="E9" sqref="E9"/>
    </sheetView>
  </sheetViews>
  <sheetFormatPr defaultColWidth="11.5703125"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62" t="s">
        <v>280</v>
      </c>
      <c r="C1" s="162"/>
      <c r="D1" s="171"/>
      <c r="E1" s="171"/>
      <c r="F1" s="171"/>
    </row>
    <row r="2" spans="2:6" x14ac:dyDescent="0.2">
      <c r="B2" s="162" t="s">
        <v>281</v>
      </c>
      <c r="C2" s="162"/>
      <c r="D2" s="171"/>
      <c r="E2" s="171"/>
      <c r="F2" s="171"/>
    </row>
    <row r="3" spans="2:6" x14ac:dyDescent="0.2">
      <c r="B3" s="163"/>
      <c r="C3" s="163"/>
      <c r="D3" s="172"/>
      <c r="E3" s="172"/>
      <c r="F3" s="172"/>
    </row>
    <row r="4" spans="2:6" ht="38.25" x14ac:dyDescent="0.2">
      <c r="B4" s="163" t="s">
        <v>282</v>
      </c>
      <c r="C4" s="163"/>
      <c r="D4" s="172"/>
      <c r="E4" s="172"/>
      <c r="F4" s="172"/>
    </row>
    <row r="5" spans="2:6" x14ac:dyDescent="0.2">
      <c r="B5" s="163"/>
      <c r="C5" s="163"/>
      <c r="D5" s="172"/>
      <c r="E5" s="172"/>
      <c r="F5" s="172"/>
    </row>
    <row r="6" spans="2:6" ht="25.5" x14ac:dyDescent="0.2">
      <c r="B6" s="162" t="s">
        <v>283</v>
      </c>
      <c r="C6" s="162"/>
      <c r="D6" s="171"/>
      <c r="E6" s="171" t="s">
        <v>284</v>
      </c>
      <c r="F6" s="171" t="s">
        <v>285</v>
      </c>
    </row>
    <row r="7" spans="2:6" ht="13.5" thickBot="1" x14ac:dyDescent="0.25">
      <c r="B7" s="163"/>
      <c r="C7" s="163"/>
      <c r="D7" s="172"/>
      <c r="E7" s="172"/>
      <c r="F7" s="172"/>
    </row>
    <row r="8" spans="2:6" ht="51" x14ac:dyDescent="0.2">
      <c r="B8" s="164" t="s">
        <v>286</v>
      </c>
      <c r="C8" s="165"/>
      <c r="D8" s="173"/>
      <c r="E8" s="173">
        <v>2</v>
      </c>
      <c r="F8" s="174"/>
    </row>
    <row r="9" spans="2:6" ht="39" thickBot="1" x14ac:dyDescent="0.25">
      <c r="B9" s="166"/>
      <c r="C9" s="167"/>
      <c r="D9" s="175"/>
      <c r="E9" s="176" t="s">
        <v>287</v>
      </c>
      <c r="F9" s="177" t="s">
        <v>288</v>
      </c>
    </row>
    <row r="10" spans="2:6" ht="13.5" thickBot="1" x14ac:dyDescent="0.25">
      <c r="B10" s="163"/>
      <c r="C10" s="163"/>
      <c r="D10" s="172"/>
      <c r="E10" s="172"/>
      <c r="F10" s="172"/>
    </row>
    <row r="11" spans="2:6" ht="63.75" x14ac:dyDescent="0.2">
      <c r="B11" s="164" t="s">
        <v>289</v>
      </c>
      <c r="C11" s="165"/>
      <c r="D11" s="173"/>
      <c r="E11" s="173">
        <v>2</v>
      </c>
      <c r="F11" s="174"/>
    </row>
    <row r="12" spans="2:6" ht="38.25" x14ac:dyDescent="0.2">
      <c r="B12" s="168"/>
      <c r="C12" s="163"/>
      <c r="D12" s="172"/>
      <c r="E12" s="178" t="s">
        <v>290</v>
      </c>
      <c r="F12" s="179" t="s">
        <v>288</v>
      </c>
    </row>
    <row r="13" spans="2:6" ht="13.5" thickBot="1" x14ac:dyDescent="0.25">
      <c r="B13" s="166"/>
      <c r="C13" s="167"/>
      <c r="D13" s="175"/>
      <c r="E13" s="175"/>
      <c r="F13" s="177" t="s">
        <v>288</v>
      </c>
    </row>
    <row r="14" spans="2:6" ht="13.5" thickBot="1" x14ac:dyDescent="0.25">
      <c r="B14" s="163"/>
      <c r="C14" s="163"/>
      <c r="D14" s="172"/>
      <c r="E14" s="172"/>
      <c r="F14" s="172"/>
    </row>
    <row r="15" spans="2:6" ht="26.25" thickBot="1" x14ac:dyDescent="0.25">
      <c r="B15" s="169" t="s">
        <v>291</v>
      </c>
      <c r="C15" s="170"/>
      <c r="D15" s="180"/>
      <c r="E15" s="181">
        <v>2</v>
      </c>
      <c r="F15" s="182" t="s">
        <v>288</v>
      </c>
    </row>
    <row r="16" spans="2:6" x14ac:dyDescent="0.2">
      <c r="B16" s="163"/>
      <c r="C16" s="163"/>
      <c r="D16" s="172"/>
      <c r="E16" s="172"/>
      <c r="F16" s="172"/>
    </row>
    <row r="17" spans="2:6" x14ac:dyDescent="0.2">
      <c r="B17" s="163"/>
      <c r="C17" s="163"/>
      <c r="D17" s="172"/>
      <c r="E17" s="172"/>
      <c r="F17" s="172"/>
    </row>
    <row r="18" spans="2:6" x14ac:dyDescent="0.2">
      <c r="B18" s="162" t="s">
        <v>292</v>
      </c>
      <c r="C18" s="162"/>
      <c r="D18" s="171"/>
      <c r="E18" s="171"/>
      <c r="F18" s="171"/>
    </row>
    <row r="19" spans="2:6" ht="13.5" thickBot="1" x14ac:dyDescent="0.25">
      <c r="B19" s="163"/>
      <c r="C19" s="163"/>
      <c r="D19" s="172"/>
      <c r="E19" s="172"/>
      <c r="F19" s="172"/>
    </row>
    <row r="20" spans="2:6" ht="39" thickBot="1" x14ac:dyDescent="0.25">
      <c r="B20" s="169" t="s">
        <v>293</v>
      </c>
      <c r="C20" s="170"/>
      <c r="D20" s="180"/>
      <c r="E20" s="180">
        <v>24</v>
      </c>
      <c r="F20" s="182" t="s">
        <v>288</v>
      </c>
    </row>
    <row r="21" spans="2:6" ht="13.5" thickBot="1" x14ac:dyDescent="0.25">
      <c r="B21" s="163"/>
      <c r="C21" s="163"/>
      <c r="D21" s="172"/>
      <c r="E21" s="172"/>
      <c r="F21" s="172"/>
    </row>
    <row r="22" spans="2:6" ht="51" x14ac:dyDescent="0.2">
      <c r="B22" s="164" t="s">
        <v>294</v>
      </c>
      <c r="C22" s="165"/>
      <c r="D22" s="173"/>
      <c r="E22" s="173">
        <v>2</v>
      </c>
      <c r="F22" s="174"/>
    </row>
    <row r="23" spans="2:6" ht="26.25" thickBot="1" x14ac:dyDescent="0.25">
      <c r="B23" s="166"/>
      <c r="C23" s="167"/>
      <c r="D23" s="175"/>
      <c r="E23" s="176" t="s">
        <v>295</v>
      </c>
      <c r="F23" s="177" t="s">
        <v>288</v>
      </c>
    </row>
    <row r="24" spans="2:6" x14ac:dyDescent="0.2">
      <c r="B24" s="163"/>
      <c r="C24" s="163"/>
      <c r="D24" s="172"/>
      <c r="E24" s="172"/>
      <c r="F24" s="172"/>
    </row>
    <row r="25" spans="2:6" x14ac:dyDescent="0.2">
      <c r="B25" s="163"/>
      <c r="C25" s="163"/>
      <c r="D25" s="172"/>
      <c r="E25" s="172"/>
      <c r="F25" s="172"/>
    </row>
  </sheetData>
  <hyperlinks>
    <hyperlink ref="E9" location="'Pump calculator'!B17:B23" display="'Pump calculator'!B17:B23"/>
    <hyperlink ref="E12" location="'Pump calculator'!A1:G30" display="'Pump calculator'!A1:G30"/>
    <hyperlink ref="E15" location="'Pump calculator'!B17:B23" display="'Pump calculator'!B17:B23"/>
    <hyperlink ref="E23" location="'ESP Leaching Bed'!A1:L53" display="'ESP Leaching Bed'!A1:L5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9E48B642488B4BA352CD2E6624428F" ma:contentTypeVersion="14" ma:contentTypeDescription="Crée un document." ma:contentTypeScope="" ma:versionID="572f7fc56bf21ffe7fc3ca71e6b3c6aa">
  <xsd:schema xmlns:xsd="http://www.w3.org/2001/XMLSchema" xmlns:xs="http://www.w3.org/2001/XMLSchema" xmlns:p="http://schemas.microsoft.com/office/2006/metadata/properties" xmlns:ns2="5afb5963-748f-4c93-8110-d37fdc1dce77" xmlns:ns3="ab260464-2f3d-4f63-9a2c-fc58d74488d2" targetNamespace="http://schemas.microsoft.com/office/2006/metadata/properties" ma:root="true" ma:fieldsID="32bfd28df2c5969c9fd6c1bb646dd77b" ns2:_="" ns3:_="">
    <xsd:import namespace="5afb5963-748f-4c93-8110-d37fdc1dce77"/>
    <xsd:import namespace="ab260464-2f3d-4f63-9a2c-fc58d74488d2"/>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b5963-748f-4c93-8110-d37fdc1dc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93e6f1de-e3d8-47b6-9eef-e6c6289b2a3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260464-2f3d-4f63-9a2c-fc58d74488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45eeea3-2006-4b31-8f79-a3882a45c414}" ma:internalName="TaxCatchAll" ma:showField="CatchAllData" ma:web="ab260464-2f3d-4f63-9a2c-fc58d74488d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b260464-2f3d-4f63-9a2c-fc58d74488d2"/>
    <lcf76f155ced4ddcb4097134ff3c332f xmlns="5afb5963-748f-4c93-8110-d37fdc1dce7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67B3A7-9925-45CF-B8D8-CB1A9BA13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b5963-748f-4c93-8110-d37fdc1dce77"/>
    <ds:schemaRef ds:uri="ab260464-2f3d-4f63-9a2c-fc58d7448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BD639E-9780-49F8-B56E-391FC9BCA0C4}">
  <ds:schemaRefs>
    <ds:schemaRef ds:uri="http://schemas.microsoft.com/sharepoint/v3/contenttype/forms"/>
  </ds:schemaRefs>
</ds:datastoreItem>
</file>

<file path=customXml/itemProps3.xml><?xml version="1.0" encoding="utf-8"?>
<ds:datastoreItem xmlns:ds="http://schemas.openxmlformats.org/officeDocument/2006/customXml" ds:itemID="{4FAEE22A-CCEF-4848-AD77-B8EF5504003A}">
  <ds:schemaRefs>
    <ds:schemaRef ds:uri="http://purl.org/dc/terms/"/>
    <ds:schemaRef ds:uri="http://schemas.microsoft.com/office/2006/metadata/properties"/>
    <ds:schemaRef ds:uri="http://schemas.microsoft.com/office/2006/documentManagement/types"/>
    <ds:schemaRef ds:uri="http://purl.org/dc/elements/1.1/"/>
    <ds:schemaRef ds:uri="ab260464-2f3d-4f63-9a2c-fc58d74488d2"/>
    <ds:schemaRef ds:uri="5afb5963-748f-4c93-8110-d37fdc1dce77"/>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ESP Leaching Bed</vt:lpstr>
      <vt:lpstr>Feuil1</vt:lpstr>
      <vt:lpstr>Summary - Leaching Bed</vt:lpstr>
      <vt:lpstr>Quantity</vt:lpstr>
      <vt:lpstr>Pump calculator</vt:lpstr>
      <vt:lpstr>head loss data</vt:lpstr>
      <vt:lpstr>pump curves</vt:lpstr>
      <vt:lpstr>Estimation Espacement</vt:lpstr>
      <vt:lpstr>Feuil2</vt:lpstr>
      <vt:lpstr>Feuil3</vt:lpstr>
    </vt:vector>
  </TitlesOfParts>
  <Company>DBO Expert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R. Côté</dc:creator>
  <cp:lastModifiedBy>User</cp:lastModifiedBy>
  <cp:lastPrinted>2023-08-11T12:23:20Z</cp:lastPrinted>
  <dcterms:created xsi:type="dcterms:W3CDTF">2008-03-28T13:11:01Z</dcterms:created>
  <dcterms:modified xsi:type="dcterms:W3CDTF">2023-10-04T14:13:45Z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0x010100DC9E48B642488B4BA352CD2E6624428F</vt:lpwstr>
  </property>
  <property fmtid="{D5CDD505-2E9C-101B-9397-08002B2CF9AE}" pid="3" name="MediaServiceImageTags">
    <vt:lpwstr/>
  </property>
</Properties>
</file>